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5IzUsyYuFGLC57bld7nUL/7CeFUBJ1J9608ETveD3SSv5LbT5ywJ7fa0UA5H8N4iuSyQOB+r4GwGySDRzbm05A==" workbookSaltValue="MOvy7HmU/gQ9KVo6eUj91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D18" i="12"/>
  <c r="ER19" i="8"/>
  <c r="EQ19" i="8"/>
  <c r="BA13" i="16"/>
  <c r="AC17" i="11"/>
  <c r="G18" i="12"/>
  <c r="W19" i="13"/>
  <c r="R8" i="9"/>
  <c r="BH11" i="16" s="1"/>
  <c r="AL13" i="16"/>
  <c r="BF17" i="11"/>
  <c r="S13" i="16"/>
  <c r="P13" i="16"/>
  <c r="AN13" i="20"/>
  <c r="Z13" i="17"/>
  <c r="AN17" i="11"/>
  <c r="M18" i="2"/>
  <c r="D17" i="6"/>
  <c r="H13" i="12"/>
  <c r="T19" i="8"/>
  <c r="T13" i="12"/>
  <c r="V9" i="11"/>
  <c r="AP17" i="20"/>
  <c r="BW11" i="20"/>
  <c r="Q17" i="17"/>
  <c r="BF15" i="11"/>
  <c r="BG12" i="8"/>
  <c r="BD9" i="8"/>
  <c r="E13" i="17"/>
  <c r="L17" i="2"/>
  <c r="T13" i="20"/>
  <c r="T13" i="16"/>
  <c r="AP13" i="16"/>
  <c r="T18" i="17"/>
  <c r="BG15" i="13"/>
  <c r="J20" i="20"/>
  <c r="AF20" i="20"/>
  <c r="M20" i="20"/>
  <c r="AG20" i="20"/>
  <c r="S20" i="20"/>
  <c r="Z20" i="20"/>
  <c r="W20" i="21"/>
  <c r="K20" i="20"/>
  <c r="AM20" i="20"/>
  <c r="AK20" i="20"/>
  <c r="F20" i="20"/>
  <c r="Z19" i="8" l="1"/>
  <c r="E18" i="12"/>
  <c r="D13" i="7"/>
  <c r="BA13" i="8"/>
  <c r="B13" i="7"/>
  <c r="I10" i="3"/>
  <c r="C19" i="3"/>
  <c r="BD15" i="13"/>
  <c r="BL16" i="11"/>
  <c r="S10" i="17"/>
  <c r="BU12" i="17"/>
  <c r="BU10" i="17"/>
  <c r="BG9" i="11"/>
  <c r="S9" i="17"/>
  <c r="BH17" i="16"/>
  <c r="BF12" i="8"/>
  <c r="AY13" i="8"/>
  <c r="BG9" i="8"/>
  <c r="BE9" i="8"/>
  <c r="I9" i="7" s="1"/>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J20" i="20"/>
  <c r="Q20" i="20"/>
  <c r="AQ20" i="21"/>
  <c r="AU20" i="20"/>
  <c r="AD20" i="20"/>
  <c r="G18" i="14"/>
  <c r="AL20" i="20"/>
  <c r="AI20" i="20"/>
  <c r="U16" i="11"/>
  <c r="AV20" i="20"/>
  <c r="Y20" i="20"/>
  <c r="O10" i="11"/>
  <c r="U12" i="11"/>
  <c r="U10" i="11"/>
  <c r="AA20" i="20"/>
  <c r="E20" i="20"/>
  <c r="T20" i="21"/>
  <c r="I11" i="12" l="1"/>
  <c r="K10" i="12"/>
  <c r="I9" i="12"/>
  <c r="K9" i="12"/>
  <c r="P18" i="17"/>
  <c r="P19" i="17" s="1"/>
  <c r="BK13" i="1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AI19" i="11" l="1"/>
  <c r="BK19"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E20" i="12"/>
  <c r="E20" i="16"/>
  <c r="U20" i="17"/>
  <c r="D20" i="12"/>
  <c r="AS20" i="16"/>
  <c r="E20" i="21"/>
  <c r="BE20" i="21"/>
  <c r="AL20" i="11"/>
  <c r="I20" i="12"/>
  <c r="T20" i="11"/>
  <c r="AF20" i="21"/>
  <c r="AD20" i="11"/>
  <c r="AL20" i="16"/>
  <c r="AF20" i="16"/>
  <c r="AT20" i="16"/>
  <c r="H20" i="21"/>
  <c r="AY20" i="16"/>
  <c r="AF20" i="17"/>
  <c r="AC20" i="16"/>
  <c r="S20" i="21"/>
  <c r="X20" i="21"/>
  <c r="K20" i="17"/>
  <c r="S20" i="11"/>
  <c r="I20" i="11"/>
  <c r="AU20" i="16"/>
  <c r="BJ20" i="16"/>
  <c r="BS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T20" i="16"/>
  <c r="AG20" i="21"/>
  <c r="W20" i="17"/>
  <c r="M20" i="11"/>
  <c r="AT20" i="20"/>
  <c r="BE20" i="16"/>
  <c r="J20" i="16"/>
  <c r="P20" i="16"/>
  <c r="AG20" i="16"/>
  <c r="AQ20" i="16"/>
  <c r="BM20" i="16"/>
  <c r="U20" i="11"/>
  <c r="AJ20" i="21"/>
  <c r="AI20" i="21"/>
  <c r="F20" i="12"/>
  <c r="H20" i="11"/>
  <c r="V20" i="17"/>
  <c r="AW20" i="16"/>
  <c r="AO20" i="21"/>
  <c r="AL20" i="17"/>
  <c r="AD20" i="16"/>
  <c r="O20" i="17"/>
  <c r="AN20" i="11"/>
  <c r="Z20" i="17"/>
  <c r="BN20" i="16"/>
  <c r="AW20" i="21"/>
  <c r="M20" i="17"/>
  <c r="AN20" i="16"/>
  <c r="AY20" i="21"/>
  <c r="R20" i="11"/>
  <c r="V20" i="16"/>
  <c r="AI20" i="11"/>
  <c r="AZ20" i="16"/>
  <c r="J20" i="11"/>
  <c r="AS20" i="17"/>
  <c r="BH20" i="16"/>
  <c r="O20" i="11"/>
  <c r="J20" i="17"/>
  <c r="AI20" i="16"/>
  <c r="Q20" i="21"/>
  <c r="AG20" i="11"/>
  <c r="AR20" i="11"/>
  <c r="R20" i="21"/>
  <c r="Q20" i="17"/>
  <c r="BK20" i="16"/>
  <c r="AJ20" i="11"/>
  <c r="AM20" i="17"/>
  <c r="AQ20" i="11" l="1"/>
  <c r="AP20" i="11"/>
  <c r="AT20" i="2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<sst xmlns="http://schemas.openxmlformats.org/spreadsheetml/2006/main" count="2080" uniqueCount="913">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</sst>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mYCzXNE0R+eG2NHZcZRObGMC6pVryEJ85h1+CwaQH212jwOGcsKphaFGSjq900KZe1STMTnSTiutmyV0Cg7cw==" saltValue="Imbe9laBfu7/B2rqZJlp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14.399585591329297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76</v>
      </c>
      <c r="D10" s="228">
        <f>IF(ISNUMBER(Datos!I10),Datos!I10," - ")</f>
        <v>88</v>
      </c>
      <c r="E10" s="229">
        <f>IF(ISNUMBER(Datos!J10),Datos!J10," - ")</f>
        <v>150</v>
      </c>
      <c r="F10" s="229">
        <f>IF(ISNUMBER(Datos!K10),Datos!K10," - ")</f>
        <v>143</v>
      </c>
      <c r="G10" s="1037" t="str">
        <f>IF(Datos!E10&lt;&gt;"",Datos!E10,Datos!D10)</f>
        <v>37</v>
      </c>
      <c r="H10" s="230">
        <f>IF(ISNUMBER(Datos!L10),Datos!L10," - ")</f>
        <v>83</v>
      </c>
      <c r="I10" s="1047" t="str">
        <f>IF(ISNUMBER(Datos!AS10/Datos!BM10),Datos!AS10/Datos!BM10," - ")</f>
        <v xml:space="preserve"> - </v>
      </c>
      <c r="J10" s="1048">
        <f>IF(ISNUMBER(Datos!BY10/Datos!CN10),Datos!BY10/Datos!CN10," - ")</f>
        <v>0</v>
      </c>
      <c r="K10" s="233">
        <f t="shared" ref="K10:K12" si="1">IF(ISNUMBER((E10-F10)/C10),(E10-F10)/C10," - ")</f>
        <v>9.2105263157894732E-2</v>
      </c>
      <c r="L10" s="1028">
        <f>IF(ISNUMBER(NºAsuntos!I10/NºAsuntos!G10),(NºAsuntos!I10/NºAsuntos!G10)*11," - ")</f>
        <v>6.384615384615385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3.7445427728613567</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76</v>
      </c>
      <c r="D13" s="1052">
        <f>SUBTOTAL(9,D9:D12)</f>
        <v>88</v>
      </c>
      <c r="E13" s="1053">
        <f>SUBTOTAL(9,E9:E12)</f>
        <v>150</v>
      </c>
      <c r="F13" s="1054">
        <f>SUBTOTAL(9,F9:F12)</f>
        <v>143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3347</v>
      </c>
      <c r="D15" s="228">
        <f>IF(ISNUMBER(IF(D_I="SI",Datos!I15,Datos!I15+Datos!AC15)),IF(D_I="SI",Datos!I15,Datos!I15+Datos!AC15)," - ")</f>
        <v>3316</v>
      </c>
      <c r="E15" s="229">
        <f>IF(ISNUMBER(IF(D_I="SI",Datos!J15,Datos!J15+Datos!AD15)),IF(D_I="SI",Datos!J15,Datos!J15+Datos!AD15)," - ")</f>
        <v>8617</v>
      </c>
      <c r="F15" s="229">
        <f>IF(ISNUMBER(IF(D_I="SI",Datos!K15,Datos!K15+Datos!AE15)),IF(D_I="SI",Datos!K15,Datos!K15+Datos!AE15)," - ")</f>
        <v>7951</v>
      </c>
      <c r="G15" s="1037" t="str">
        <f>IF(Datos!E15&lt;&gt;"",Datos!E15,Datos!D15)</f>
        <v>03</v>
      </c>
      <c r="H15" s="230">
        <f>IF(ISNUMBER(IF(D_I="SI",Datos!L15,Datos!L15+Datos!AF15)),IF(D_I="SI",Datos!L15,Datos!L15+Datos!AF15)," - ")</f>
        <v>4013</v>
      </c>
      <c r="I15" s="1047" t="str">
        <f>IF(ISNUMBER(Datos!AS15/Datos!BM15),Datos!AS15/Datos!BM15," - ")</f>
        <v xml:space="preserve"> - </v>
      </c>
      <c r="J15" s="1048">
        <f>IF(ISNUMBER(Datos!BY15/Datos!CN15),Datos!BY15/Datos!CN15," - ")</f>
        <v>0</v>
      </c>
      <c r="K15" s="233">
        <f t="shared" ref="K15:K17" si="3">IF(ISNUMBER((E15-F15)/C15),(E15-F15)/C15," - ")</f>
        <v>0.19898416492381238</v>
      </c>
      <c r="L15" s="1028">
        <f>IF(ISNUMBER(NºAsuntos!I15/NºAsuntos!G15),(NºAsuntos!I15/NºAsuntos!G15)*11," - ")</f>
        <v>5.5518802666331277</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275</v>
      </c>
      <c r="D17" s="228">
        <f>IF(ISNUMBER(IF(D_I="SI",Datos!I17,Datos!I17+Datos!AC17)),IF(D_I="SI",Datos!I17,Datos!I17+Datos!AC17)," - ")</f>
        <v>274</v>
      </c>
      <c r="E17" s="229">
        <f>IF(ISNUMBER(IF(D_I="SI",Datos!J17,Datos!J17+Datos!AD17)),IF(D_I="SI",Datos!J17,Datos!J17+Datos!AD17)," - ")</f>
        <v>1047</v>
      </c>
      <c r="F17" s="229">
        <f>IF(ISNUMBER(IF(D_I="SI",Datos!K17,Datos!K17+Datos!AE17)),IF(D_I="SI",Datos!K17,Datos!K17+Datos!AE17)," - ")</f>
        <v>988</v>
      </c>
      <c r="G17" s="1037" t="str">
        <f>IF(Datos!E17&lt;&gt;"",Datos!E17,Datos!D17)</f>
        <v>37</v>
      </c>
      <c r="H17" s="230">
        <f>IF(ISNUMBER(IF(D_I="SI",Datos!L17,Datos!L17+Datos!AF17)),IF(D_I="SI",Datos!L17,Datos!L17+Datos!AF17)," - ")</f>
        <v>334</v>
      </c>
      <c r="I17" s="1047" t="str">
        <f>IF(ISNUMBER(Datos!AS17/Datos!BM17),Datos!AS17/Datos!BM17," - ")</f>
        <v xml:space="preserve"> - </v>
      </c>
      <c r="J17" s="1048" t="str">
        <f>IF(ISNUMBER((Datos!BY17+Datos!BZ17)/Datos!CN17),(Datos!BY17+Datos!BZ17)/Datos!CN17," - ")</f>
        <v xml:space="preserve"> - </v>
      </c>
      <c r="K17" s="233">
        <f t="shared" si="3"/>
        <v>0.21454545454545454</v>
      </c>
      <c r="L17" s="1028">
        <f>IF(ISNUMBER(NºAsuntos!I17/NºAsuntos!G17),(NºAsuntos!I17/NºAsuntos!G17)*11," - ")</f>
        <v>3.7186234817813766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3622</v>
      </c>
      <c r="D18" s="1052">
        <f>SUBTOTAL(9,D15:D17)</f>
        <v>3590</v>
      </c>
      <c r="E18" s="1053">
        <f>SUBTOTAL(9,E15:E17)</f>
        <v>9664</v>
      </c>
      <c r="F18" s="1053">
        <f>SUBTOTAL(9,F15:F17)</f>
        <v>8939</v>
      </c>
      <c r="G18" s="1055" t="str">
        <f ca="1">INDIRECT(CONCATENATE("G",ROW()-1))</f>
        <v>37</v>
      </c>
      <c r="H18" s="1056">
        <f ca="1">SUMIF(G$14:G17,G18,H$14:H17)</f>
        <v>334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3698</v>
      </c>
      <c r="D19" s="1074">
        <f>SUBTOTAL(9,D9:D18)</f>
        <v>3678</v>
      </c>
      <c r="E19" s="1075">
        <f>SUBTOTAL(9,E9:E18)</f>
        <v>9814</v>
      </c>
      <c r="F19" s="1075">
        <f>SUBTOTAL(9,F9:F18)</f>
        <v>9082</v>
      </c>
      <c r="G19" s="1076"/>
      <c r="H19" s="1077">
        <f ca="1">SUMIF(B9:B18,"TOTAL",H9:H18)</f>
        <v>334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w0UhOtBxKyHkzhXGAnk9eWIru3FP2gs4mUYmIwHOjBCqcaaYzYOyFE6v1XXIzkHN7F8Aw6FLgGT7Jjzu88erpw==" saltValue="UWYwh99RZtyK9FlBlL9/8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GwawVNeaPhwklyqMwA3WksQnM2CB1K7yHGUqfp6UdZJIuTSYEo+FetCNXBgvtWy52SuFnQGN97S9VdfYTrmaw==" saltValue="D/bpFC3MlXJOqZVNUBIQ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5047</v>
      </c>
      <c r="J9" s="184">
        <v>8922</v>
      </c>
      <c r="K9" s="184">
        <v>5974</v>
      </c>
      <c r="L9" s="184">
        <v>7991</v>
      </c>
      <c r="M9" s="184">
        <v>1651</v>
      </c>
      <c r="N9" s="184">
        <v>2129</v>
      </c>
      <c r="O9" s="184">
        <v>3203</v>
      </c>
      <c r="P9" s="184">
        <v>1692</v>
      </c>
      <c r="Q9" s="184">
        <v>2543</v>
      </c>
      <c r="R9" s="184">
        <v>9253</v>
      </c>
      <c r="S9" s="184">
        <v>4813</v>
      </c>
      <c r="T9" s="184">
        <v>8388</v>
      </c>
      <c r="U9" s="184">
        <v>8243</v>
      </c>
      <c r="V9" s="184">
        <v>5047</v>
      </c>
      <c r="W9" s="184">
        <v>2715</v>
      </c>
      <c r="X9" s="191">
        <v>2739</v>
      </c>
      <c r="Y9" s="194">
        <v>136</v>
      </c>
      <c r="Z9" s="184">
        <v>386</v>
      </c>
      <c r="AA9" s="184">
        <v>300</v>
      </c>
      <c r="AB9" s="184">
        <v>222</v>
      </c>
      <c r="AC9" s="184">
        <v>0</v>
      </c>
      <c r="AD9" s="184">
        <v>0</v>
      </c>
      <c r="AE9" s="184">
        <v>0</v>
      </c>
      <c r="AF9" s="191">
        <v>0</v>
      </c>
      <c r="AG9" s="194">
        <v>227</v>
      </c>
      <c r="AH9" s="184">
        <v>495</v>
      </c>
      <c r="AI9" s="184">
        <v>576</v>
      </c>
      <c r="AJ9" s="195">
        <v>136</v>
      </c>
      <c r="AK9" s="183">
        <v>0</v>
      </c>
      <c r="AL9" s="184">
        <v>0</v>
      </c>
      <c r="AM9" s="184">
        <v>0</v>
      </c>
      <c r="AN9" s="191">
        <v>0</v>
      </c>
      <c r="AO9" s="261">
        <v>6</v>
      </c>
      <c r="AP9" s="157">
        <v>6</v>
      </c>
      <c r="AQ9" s="157">
        <v>6</v>
      </c>
      <c r="AR9" s="196">
        <v>6</v>
      </c>
      <c r="AS9" s="341" t="s">
        <v>800</v>
      </c>
      <c r="AT9" s="198"/>
      <c r="AU9" s="197"/>
      <c r="AV9" s="198"/>
      <c r="AW9" s="197"/>
      <c r="AX9" s="198"/>
      <c r="AY9" s="123">
        <f>IF(ISNUMBER(IF(J_V="SI",S9,S9+AG9)),IF(J_V="SI",S9,S9+AG9)," - ")</f>
        <v>5040</v>
      </c>
      <c r="AZ9" s="123">
        <f>IF(ISNUMBER(IF(J_V="SI",T9,T9+AH9)),IF(J_V="SI",T9,T9+AH9)," - ")</f>
        <v>8883</v>
      </c>
      <c r="BA9" s="124">
        <f>IF(ISNUMBER(IF(J_V="SI",U9,U9+AI9)),IF(J_V="SI",U9,U9+AI9)," - ")</f>
        <v>8819</v>
      </c>
      <c r="BB9" s="124">
        <f>IF(ISNUMBER(IF(J_V="SI",V9,V9+AJ9)),IF(J_V="SI",V9,V9+AJ9)," - ")</f>
        <v>5183</v>
      </c>
      <c r="BC9" s="125">
        <f>IF(ISNUMBER(X9),X9," - ")</f>
        <v>2739</v>
      </c>
      <c r="BD9" s="126">
        <f>IF(ISNUMBER(BA9/AZ9),BA9/AZ9," - ")</f>
        <v>0.99279522683777999</v>
      </c>
      <c r="BE9" s="127">
        <f>IF(ISNUMBER(BB9/BA9),BB9/BA9, " - ")</f>
        <v>0.58770835695657109</v>
      </c>
      <c r="BF9" s="127">
        <f>IF(ISNUMBER(BC9/BA9),BC9/BA9, " - ")</f>
        <v>0.3105794307744642</v>
      </c>
      <c r="BG9" s="199">
        <f>IF(ISNUMBER((AY9+AZ9)/BA9),(AY9+AZ9)/BA9," - ")</f>
        <v>1.5787504252182787</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88</v>
      </c>
      <c r="J10" s="184">
        <v>150</v>
      </c>
      <c r="K10" s="184">
        <v>143</v>
      </c>
      <c r="L10" s="184">
        <v>83</v>
      </c>
      <c r="M10" s="184">
        <v>61</v>
      </c>
      <c r="N10" s="184">
        <v>53</v>
      </c>
      <c r="O10" s="184">
        <v>47</v>
      </c>
      <c r="P10" s="184">
        <v>39</v>
      </c>
      <c r="Q10" s="184">
        <v>55</v>
      </c>
      <c r="R10" s="184">
        <v>53</v>
      </c>
      <c r="S10" s="184">
        <v>80</v>
      </c>
      <c r="T10" s="184">
        <v>118</v>
      </c>
      <c r="U10" s="184">
        <v>110</v>
      </c>
      <c r="V10" s="184">
        <v>88</v>
      </c>
      <c r="W10" s="184">
        <v>49</v>
      </c>
      <c r="X10" s="191">
        <v>62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80</v>
      </c>
      <c r="AZ10" s="129">
        <f t="shared" si="0"/>
        <v>118</v>
      </c>
      <c r="BA10" s="129">
        <f t="shared" si="0"/>
        <v>110</v>
      </c>
      <c r="BB10" s="129">
        <f t="shared" si="0"/>
        <v>88</v>
      </c>
      <c r="BC10" s="125">
        <f t="shared" si="0"/>
        <v>49</v>
      </c>
      <c r="BD10" s="126">
        <f>IF(ISNUMBER(BA10/AZ10),BA10/AZ10," - ")</f>
        <v>0.93220338983050843</v>
      </c>
      <c r="BE10" s="127">
        <f>IF(ISNUMBER(BB10/BA10),BB10/BA10, " - ")</f>
        <v>0.8</v>
      </c>
      <c r="BF10" s="127">
        <f>IF(ISNUMBER(BC10/BA10),BC10/BA10, " - ")</f>
        <v>0.44545454545454544</v>
      </c>
      <c r="BG10" s="199">
        <f>IF(ISNUMBER((AY10+AZ10)/BA10),(AY10+AZ10)/BA10," - ")</f>
        <v>1.8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384</v>
      </c>
      <c r="J11" s="186">
        <v>1145</v>
      </c>
      <c r="K11" s="186">
        <v>1008</v>
      </c>
      <c r="L11" s="186">
        <v>515</v>
      </c>
      <c r="M11" s="186">
        <v>455</v>
      </c>
      <c r="N11" s="186">
        <v>1108</v>
      </c>
      <c r="O11" s="184">
        <v>438</v>
      </c>
      <c r="P11" s="186">
        <v>191</v>
      </c>
      <c r="Q11" s="186">
        <v>100</v>
      </c>
      <c r="R11" s="186">
        <v>580</v>
      </c>
      <c r="S11" s="186">
        <v>412</v>
      </c>
      <c r="T11" s="186">
        <v>1301</v>
      </c>
      <c r="U11" s="186">
        <v>1276</v>
      </c>
      <c r="V11" s="186">
        <v>384</v>
      </c>
      <c r="W11" s="186">
        <v>649</v>
      </c>
      <c r="X11" s="192">
        <v>1047</v>
      </c>
      <c r="Y11" s="194">
        <v>90</v>
      </c>
      <c r="Z11" s="184">
        <v>649</v>
      </c>
      <c r="AA11" s="184">
        <v>687</v>
      </c>
      <c r="AB11" s="184">
        <v>62</v>
      </c>
      <c r="AC11" s="186">
        <v>0</v>
      </c>
      <c r="AD11" s="186">
        <v>0</v>
      </c>
      <c r="AE11" s="186">
        <v>0</v>
      </c>
      <c r="AF11" s="192">
        <v>0</v>
      </c>
      <c r="AG11" s="205">
        <v>47</v>
      </c>
      <c r="AH11" s="186">
        <v>806</v>
      </c>
      <c r="AI11" s="186">
        <v>769</v>
      </c>
      <c r="AJ11" s="206">
        <v>90</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459</v>
      </c>
      <c r="AZ11" s="127">
        <f t="shared" si="1"/>
        <v>2107</v>
      </c>
      <c r="BA11" s="127">
        <f t="shared" si="1"/>
        <v>2045</v>
      </c>
      <c r="BB11" s="127">
        <f t="shared" si="1"/>
        <v>474</v>
      </c>
      <c r="BC11" s="125">
        <f>IF(ISNUMBER(X11),X11," - ")</f>
        <v>1047</v>
      </c>
      <c r="BD11" s="126">
        <f t="shared" ref="BD11:BD12" si="2">IF(ISNUMBER(BA11/AZ11),BA11/AZ11," - ")</f>
        <v>0.97057427622211678</v>
      </c>
      <c r="BE11" s="127">
        <f t="shared" ref="BE11:BE12" si="3">IF(ISNUMBER(BB11/BA11),BB11/BA11, " - ")</f>
        <v>0.23178484107579461</v>
      </c>
      <c r="BF11" s="127">
        <f t="shared" ref="BF11:BF12" si="4">IF(ISNUMBER(BC11/BA11),BC11/BA11, " - ")</f>
        <v>0.51198044009779953</v>
      </c>
      <c r="BG11" s="199">
        <f t="shared" ref="BG11:BG12" si="5">IF(ISNUMBER((AY11+AZ11)/BA11),(AY11+AZ11)/BA11," - ")</f>
        <v>1.2547677261613692</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5519</v>
      </c>
      <c r="J13" s="187">
        <f t="shared" si="6"/>
        <v>10217</v>
      </c>
      <c r="K13" s="187">
        <f t="shared" si="6"/>
        <v>7125</v>
      </c>
      <c r="L13" s="187">
        <f t="shared" si="6"/>
        <v>8589</v>
      </c>
      <c r="M13" s="187">
        <f t="shared" si="6"/>
        <v>2167</v>
      </c>
      <c r="N13" s="187">
        <f t="shared" si="6"/>
        <v>3290</v>
      </c>
      <c r="O13" s="187">
        <f t="shared" si="6"/>
        <v>3688</v>
      </c>
      <c r="P13" s="187">
        <f t="shared" si="6"/>
        <v>1922</v>
      </c>
      <c r="Q13" s="187">
        <f t="shared" si="6"/>
        <v>2698</v>
      </c>
      <c r="R13" s="187">
        <f t="shared" si="6"/>
        <v>9886</v>
      </c>
      <c r="S13" s="187">
        <f t="shared" si="6"/>
        <v>5305</v>
      </c>
      <c r="T13" s="187">
        <f t="shared" si="6"/>
        <v>9807</v>
      </c>
      <c r="U13" s="187">
        <f t="shared" si="6"/>
        <v>9629</v>
      </c>
      <c r="V13" s="187">
        <f t="shared" si="6"/>
        <v>5519</v>
      </c>
      <c r="W13" s="187">
        <f t="shared" si="6"/>
        <v>3413</v>
      </c>
      <c r="X13" s="187">
        <f t="shared" si="6"/>
        <v>3848</v>
      </c>
      <c r="Y13" s="187">
        <f t="shared" si="6"/>
        <v>226</v>
      </c>
      <c r="Z13" s="187">
        <f t="shared" si="6"/>
        <v>1035</v>
      </c>
      <c r="AA13" s="187">
        <f t="shared" si="6"/>
        <v>987</v>
      </c>
      <c r="AB13" s="187">
        <f t="shared" si="6"/>
        <v>284</v>
      </c>
      <c r="AC13" s="187">
        <f t="shared" si="6"/>
        <v>0</v>
      </c>
      <c r="AD13" s="187">
        <f t="shared" si="6"/>
        <v>0</v>
      </c>
      <c r="AE13" s="187">
        <f t="shared" si="6"/>
        <v>0</v>
      </c>
      <c r="AF13" s="187">
        <f>SUBTOTAL(9,AF9:AF12)</f>
        <v>0</v>
      </c>
      <c r="AG13" s="187">
        <f t="shared" ref="AG13:AT13" si="7">SUBTOTAL(9,AG8:AG12)</f>
        <v>274</v>
      </c>
      <c r="AH13" s="187">
        <f t="shared" si="7"/>
        <v>1301</v>
      </c>
      <c r="AI13" s="187">
        <f t="shared" si="7"/>
        <v>1345</v>
      </c>
      <c r="AJ13" s="187">
        <f t="shared" si="7"/>
        <v>226</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5579</v>
      </c>
      <c r="AZ13" s="187">
        <f>SUBTOTAL(9,AZ8:AZ12)</f>
        <v>11108</v>
      </c>
      <c r="BA13" s="187">
        <f>SUBTOTAL(9,BA8:BA12)</f>
        <v>10974</v>
      </c>
      <c r="BB13" s="187">
        <f>SUBTOTAL(9,BB8:BB12)</f>
        <v>5745</v>
      </c>
      <c r="BC13" s="187">
        <f>SUBTOTAL(9,BC8:BC12)</f>
        <v>3835</v>
      </c>
      <c r="BD13" s="208">
        <f>IF(ISNUMBER(BA13/AZ13),BA13/AZ13," - ")</f>
        <v>0.98793662225423118</v>
      </c>
      <c r="BE13" s="209">
        <f>IF(ISNUMBER(BB13/BA13),BB13/BA13, " - ")</f>
        <v>0.52351011481683984</v>
      </c>
      <c r="BF13" s="209">
        <f>IF(ISNUMBER(BC13/BA13),BC13/BA13, " - ")</f>
        <v>0.34946236559139787</v>
      </c>
      <c r="BG13" s="210">
        <f>IF(ISNUMBER((AY13+AZ13)/BA13),(AY13+AZ13)/BA13," - ")</f>
        <v>1.5205941315837435</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3316</v>
      </c>
      <c r="J15" s="186">
        <v>8617</v>
      </c>
      <c r="K15" s="186">
        <v>7951</v>
      </c>
      <c r="L15" s="186">
        <v>4013</v>
      </c>
      <c r="M15" s="186">
        <v>1219</v>
      </c>
      <c r="N15" s="186">
        <v>4031</v>
      </c>
      <c r="O15" s="184">
        <v>267</v>
      </c>
      <c r="P15" s="186">
        <v>629</v>
      </c>
      <c r="Q15" s="186">
        <v>536</v>
      </c>
      <c r="R15" s="186">
        <v>632</v>
      </c>
      <c r="S15" s="186">
        <v>2760</v>
      </c>
      <c r="T15" s="186">
        <v>8210</v>
      </c>
      <c r="U15" s="186">
        <v>7674</v>
      </c>
      <c r="V15" s="186">
        <v>3316</v>
      </c>
      <c r="W15" s="186">
        <v>1416</v>
      </c>
      <c r="X15" s="192">
        <v>3501</v>
      </c>
      <c r="Y15" s="205">
        <v>0</v>
      </c>
      <c r="Z15" s="186">
        <v>0</v>
      </c>
      <c r="AA15" s="186">
        <v>0</v>
      </c>
      <c r="AB15" s="186">
        <v>0</v>
      </c>
      <c r="AC15" s="186">
        <v>1</v>
      </c>
      <c r="AD15" s="186">
        <v>258</v>
      </c>
      <c r="AE15" s="186">
        <v>258</v>
      </c>
      <c r="AF15" s="192">
        <v>1</v>
      </c>
      <c r="AG15" s="205">
        <v>0</v>
      </c>
      <c r="AH15" s="186">
        <v>0</v>
      </c>
      <c r="AI15" s="186">
        <v>0</v>
      </c>
      <c r="AJ15" s="206">
        <v>0</v>
      </c>
      <c r="AK15" s="185">
        <v>1</v>
      </c>
      <c r="AL15" s="186">
        <v>303</v>
      </c>
      <c r="AM15" s="186">
        <v>303</v>
      </c>
      <c r="AN15" s="192">
        <v>1</v>
      </c>
      <c r="AO15" s="262">
        <v>3</v>
      </c>
      <c r="AP15" s="158">
        <v>3</v>
      </c>
      <c r="AQ15" s="158">
        <v>3</v>
      </c>
      <c r="AR15" s="158">
        <v>3</v>
      </c>
      <c r="AS15" s="343" t="s">
        <v>527</v>
      </c>
      <c r="AT15" s="206" t="s">
        <v>326</v>
      </c>
      <c r="AU15" s="205"/>
      <c r="AV15" s="206"/>
      <c r="AW15" s="205"/>
      <c r="AX15" s="206"/>
      <c r="AY15" s="128">
        <f t="shared" ref="AY15:BB16" si="9">IF(ISNUMBER(IF(D_I="SI",S15,S15+AK15)),IF(D_I="SI",S15,S15+AK15)," - ")</f>
        <v>2760</v>
      </c>
      <c r="AZ15" s="129">
        <f t="shared" si="9"/>
        <v>8210</v>
      </c>
      <c r="BA15" s="129">
        <f t="shared" si="9"/>
        <v>7674</v>
      </c>
      <c r="BB15" s="129">
        <f t="shared" si="9"/>
        <v>3316</v>
      </c>
      <c r="BC15" s="125">
        <f>IF(ISNUMBER(W15),W15," - ")</f>
        <v>1416</v>
      </c>
      <c r="BD15" s="126">
        <f>IF(ISNUMBER(BA15/AZ15),BA15/AZ15," - ")</f>
        <v>0.93471376370280146</v>
      </c>
      <c r="BE15" s="127">
        <f>IF(ISNUMBER(BB15/BA15),BB15/BA15, " - ")</f>
        <v>0.43210841803492311</v>
      </c>
      <c r="BF15" s="127">
        <f>IF(ISNUMBER(BC15/BA15),BC15/BA15, " - ")</f>
        <v>0.18451915559030493</v>
      </c>
      <c r="BG15" s="199">
        <f t="shared" ref="BG15:BG16" si="10">IF(ISNUMBER((AY15+AZ15)/BA15),(AY15+AZ15)/BA15," - ")</f>
        <v>1.4295022152723482</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274</v>
      </c>
      <c r="J17" s="186">
        <v>1047</v>
      </c>
      <c r="K17" s="186">
        <v>988</v>
      </c>
      <c r="L17" s="186">
        <v>334</v>
      </c>
      <c r="M17" s="186">
        <v>36</v>
      </c>
      <c r="N17" s="186">
        <v>526</v>
      </c>
      <c r="O17" s="186">
        <v>5</v>
      </c>
      <c r="P17" s="186">
        <v>11</v>
      </c>
      <c r="Q17" s="186">
        <v>5</v>
      </c>
      <c r="R17" s="186">
        <v>6</v>
      </c>
      <c r="S17" s="186">
        <v>223</v>
      </c>
      <c r="T17" s="186">
        <v>882</v>
      </c>
      <c r="U17" s="186">
        <v>834</v>
      </c>
      <c r="V17" s="186">
        <v>274</v>
      </c>
      <c r="W17" s="186">
        <v>31</v>
      </c>
      <c r="X17" s="192">
        <v>458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223</v>
      </c>
      <c r="AZ17" s="129">
        <f t="shared" si="14"/>
        <v>882</v>
      </c>
      <c r="BA17" s="129">
        <f t="shared" si="14"/>
        <v>834</v>
      </c>
      <c r="BB17" s="129">
        <f t="shared" si="14"/>
        <v>274</v>
      </c>
      <c r="BC17" s="125">
        <f>IF(ISNUMBER(W17),W17," - ")</f>
        <v>31</v>
      </c>
      <c r="BD17" s="126">
        <f>IF(ISNUMBER(BA17/AZ17),BA17/AZ17," - ")</f>
        <v>0.94557823129251706</v>
      </c>
      <c r="BE17" s="127">
        <f>IF(ISNUMBER(BB17/BA17),BB17/BA17, " - ")</f>
        <v>0.32853717026378898</v>
      </c>
      <c r="BF17" s="127">
        <f>IF(ISNUMBER(BC17/BA17),BC17/BA17, " - ")</f>
        <v>3.7170263788968823E-2</v>
      </c>
      <c r="BG17" s="199">
        <f>IF(ISNUMBER((AY17+AZ17)/BA17),(AY17+AZ17)/BA17," - ")</f>
        <v>1.3249400479616307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3590</v>
      </c>
      <c r="J18" s="187">
        <f t="shared" si="15"/>
        <v>9664</v>
      </c>
      <c r="K18" s="187">
        <f t="shared" si="15"/>
        <v>8939</v>
      </c>
      <c r="L18" s="187">
        <f t="shared" si="15"/>
        <v>4347</v>
      </c>
      <c r="M18" s="187">
        <f t="shared" si="15"/>
        <v>1255</v>
      </c>
      <c r="N18" s="187">
        <f t="shared" si="15"/>
        <v>4557</v>
      </c>
      <c r="O18" s="187">
        <f t="shared" si="15"/>
        <v>272</v>
      </c>
      <c r="P18" s="187">
        <f t="shared" si="15"/>
        <v>640</v>
      </c>
      <c r="Q18" s="187">
        <f t="shared" si="15"/>
        <v>541</v>
      </c>
      <c r="R18" s="187">
        <f t="shared" si="15"/>
        <v>638</v>
      </c>
      <c r="S18" s="187">
        <f t="shared" si="15"/>
        <v>2983</v>
      </c>
      <c r="T18" s="187">
        <f t="shared" si="15"/>
        <v>9092</v>
      </c>
      <c r="U18" s="187">
        <f t="shared" si="15"/>
        <v>8508</v>
      </c>
      <c r="V18" s="187">
        <f t="shared" si="15"/>
        <v>3590</v>
      </c>
      <c r="W18" s="187">
        <f t="shared" si="15"/>
        <v>1447</v>
      </c>
      <c r="X18" s="187">
        <f t="shared" si="15"/>
        <v>3959</v>
      </c>
      <c r="Y18" s="187">
        <f t="shared" si="15"/>
        <v>0</v>
      </c>
      <c r="Z18" s="187">
        <f t="shared" si="15"/>
        <v>0</v>
      </c>
      <c r="AA18" s="187">
        <f t="shared" si="15"/>
        <v>0</v>
      </c>
      <c r="AB18" s="187">
        <f t="shared" si="15"/>
        <v>0</v>
      </c>
      <c r="AC18" s="187">
        <f t="shared" si="15"/>
        <v>1</v>
      </c>
      <c r="AD18" s="187">
        <f t="shared" si="15"/>
        <v>258</v>
      </c>
      <c r="AE18" s="187">
        <f t="shared" si="15"/>
        <v>258</v>
      </c>
      <c r="AF18" s="187">
        <f t="shared" si="15"/>
        <v>1</v>
      </c>
      <c r="AG18" s="187">
        <f t="shared" si="15"/>
        <v>0</v>
      </c>
      <c r="AH18" s="187">
        <f t="shared" si="15"/>
        <v>0</v>
      </c>
      <c r="AI18" s="187">
        <f t="shared" si="15"/>
        <v>0</v>
      </c>
      <c r="AJ18" s="187">
        <f t="shared" si="15"/>
        <v>0</v>
      </c>
      <c r="AK18" s="187">
        <f t="shared" si="15"/>
        <v>1</v>
      </c>
      <c r="AL18" s="187">
        <f t="shared" si="15"/>
        <v>303</v>
      </c>
      <c r="AM18" s="187">
        <f t="shared" si="15"/>
        <v>303</v>
      </c>
      <c r="AN18" s="187">
        <f t="shared" si="15"/>
        <v>1</v>
      </c>
      <c r="AO18" s="187">
        <f t="shared" si="15"/>
        <v>4</v>
      </c>
      <c r="AP18" s="187">
        <f t="shared" si="15"/>
        <v>4</v>
      </c>
      <c r="AQ18" s="187">
        <f t="shared" si="15"/>
        <v>4</v>
      </c>
      <c r="AR18" s="187">
        <f t="shared" si="15"/>
        <v>4</v>
      </c>
      <c r="AS18" s="187">
        <f t="shared" si="15"/>
        <v>0</v>
      </c>
      <c r="AT18" s="187">
        <f t="shared" si="15"/>
        <v>0</v>
      </c>
      <c r="AU18" s="207"/>
      <c r="AV18" s="132"/>
      <c r="AW18" s="207"/>
      <c r="AX18" s="132"/>
      <c r="AY18" s="187">
        <f>SUBTOTAL(9,AY14:AY17)</f>
        <v>2983</v>
      </c>
      <c r="AZ18" s="187">
        <f>SUBTOTAL(9,AZ14:AZ17)</f>
        <v>9092</v>
      </c>
      <c r="BA18" s="187">
        <f>SUBTOTAL(9,BA14:BA17)</f>
        <v>8508</v>
      </c>
      <c r="BB18" s="187">
        <f>SUBTOTAL(9,BB14:BB17)</f>
        <v>3590</v>
      </c>
      <c r="BC18" s="187">
        <f>SUBTOTAL(9,BC14:BC17)</f>
        <v>1447</v>
      </c>
      <c r="BD18" s="208">
        <f>IF(ISNUMBER(BA18/AZ18),BA18/AZ18," - ")</f>
        <v>0.93576770787505503</v>
      </c>
      <c r="BE18" s="209">
        <f>IF(ISNUMBER(BB18/BA18),BB18/BA18, " - ")</f>
        <v>0.421955806299953</v>
      </c>
      <c r="BF18" s="209">
        <f>IF(ISNUMBER(BC18/BA18),BC18/BA18, " - ")</f>
        <v>0.17007522331922897</v>
      </c>
      <c r="BG18" s="210">
        <f>IF(ISNUMBER((AY18+AZ18)/BA18),(AY18+AZ18)/BA18," - ")</f>
        <v>1.4192524682651622</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9109</v>
      </c>
      <c r="J19" s="134">
        <f t="shared" si="18"/>
        <v>19881</v>
      </c>
      <c r="K19" s="134">
        <f t="shared" si="18"/>
        <v>16064</v>
      </c>
      <c r="L19" s="134">
        <f t="shared" si="18"/>
        <v>12936</v>
      </c>
      <c r="M19" s="134">
        <f t="shared" si="18"/>
        <v>3422</v>
      </c>
      <c r="N19" s="134">
        <f t="shared" si="18"/>
        <v>7847</v>
      </c>
      <c r="O19" s="134">
        <f t="shared" si="18"/>
        <v>3960</v>
      </c>
      <c r="P19" s="134">
        <f t="shared" si="18"/>
        <v>2562</v>
      </c>
      <c r="Q19" s="134">
        <f t="shared" si="18"/>
        <v>3239</v>
      </c>
      <c r="R19" s="134">
        <f t="shared" si="18"/>
        <v>10524</v>
      </c>
      <c r="S19" s="134">
        <f t="shared" si="18"/>
        <v>8288</v>
      </c>
      <c r="T19" s="134">
        <f t="shared" si="18"/>
        <v>18899</v>
      </c>
      <c r="U19" s="134">
        <f t="shared" si="18"/>
        <v>18137</v>
      </c>
      <c r="V19" s="134">
        <f t="shared" si="18"/>
        <v>9109</v>
      </c>
      <c r="W19" s="134">
        <f t="shared" si="18"/>
        <v>4860</v>
      </c>
      <c r="X19" s="134">
        <f t="shared" si="18"/>
        <v>7807</v>
      </c>
      <c r="Y19" s="134">
        <f t="shared" si="18"/>
        <v>226</v>
      </c>
      <c r="Z19" s="134">
        <f t="shared" si="18"/>
        <v>1035</v>
      </c>
      <c r="AA19" s="134">
        <f t="shared" si="18"/>
        <v>987</v>
      </c>
      <c r="AB19" s="134">
        <f t="shared" si="18"/>
        <v>284</v>
      </c>
      <c r="AC19" s="134">
        <f t="shared" si="18"/>
        <v>1</v>
      </c>
      <c r="AD19" s="134">
        <f t="shared" si="18"/>
        <v>258</v>
      </c>
      <c r="AE19" s="134">
        <f t="shared" si="18"/>
        <v>258</v>
      </c>
      <c r="AF19" s="134">
        <f t="shared" si="18"/>
        <v>1</v>
      </c>
      <c r="AG19" s="134">
        <f t="shared" si="18"/>
        <v>274</v>
      </c>
      <c r="AH19" s="134">
        <f t="shared" si="18"/>
        <v>1301</v>
      </c>
      <c r="AI19" s="134">
        <f t="shared" si="18"/>
        <v>1345</v>
      </c>
      <c r="AJ19" s="134">
        <f t="shared" si="18"/>
        <v>226</v>
      </c>
      <c r="AK19" s="134">
        <f t="shared" si="18"/>
        <v>1</v>
      </c>
      <c r="AL19" s="134">
        <f t="shared" si="18"/>
        <v>303</v>
      </c>
      <c r="AM19" s="134">
        <f t="shared" si="18"/>
        <v>303</v>
      </c>
      <c r="AN19" s="213">
        <f t="shared" si="18"/>
        <v>1</v>
      </c>
      <c r="AO19" s="214">
        <v>12</v>
      </c>
      <c r="AP19" s="214">
        <v>12</v>
      </c>
      <c r="AQ19" s="214">
        <v>12</v>
      </c>
      <c r="AR19" s="214">
        <v>12</v>
      </c>
      <c r="AS19" s="156">
        <f t="shared" si="18"/>
        <v>0</v>
      </c>
      <c r="AT19" s="156">
        <f t="shared" si="18"/>
        <v>0</v>
      </c>
      <c r="AU19" s="214"/>
      <c r="AV19" s="215"/>
      <c r="AW19" s="214"/>
      <c r="AX19" s="215"/>
      <c r="AY19" s="133">
        <f>SUBTOTAL(9,AY9:AY18)</f>
        <v>8562</v>
      </c>
      <c r="AZ19" s="134">
        <f>SUBTOTAL(9,AZ9:AZ18)</f>
        <v>20200</v>
      </c>
      <c r="BA19" s="134">
        <f>SUBTOTAL(9,BA9:BA18)</f>
        <v>19482</v>
      </c>
      <c r="BB19" s="134">
        <f>SUBTOTAL(9,BB9:BB18)</f>
        <v>9335</v>
      </c>
      <c r="BC19" s="135">
        <f>SUBTOTAL(9,BC9:BC18)</f>
        <v>5282</v>
      </c>
      <c r="BD19" s="216">
        <f>IF(ISNUMBER(BA19/AZ19),BA19/AZ19," - ")</f>
        <v>0.96445544554455442</v>
      </c>
      <c r="BE19" s="213">
        <f>IF(ISNUMBER(BB19/BA19),BB19/BA19, " - ")</f>
        <v>0.47916025048762961</v>
      </c>
      <c r="BF19" s="213">
        <f>IF(ISNUMBER(BC19/BA19),BC19/BA19, " - ")</f>
        <v>0.271122061390001</v>
      </c>
      <c r="BG19" s="135">
        <f>IF(ISNUMBER((AY19+AZ19)/BA19),(AY19+AZ19)/BA19," - ")</f>
        <v>1.4763371317113232</v>
      </c>
      <c r="BH19" s="214">
        <f>SUBTOTAL(9,BH9:BH18)</f>
        <v>13</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1z/SdFh+FlS8TARyhVlZ3wnwC0tgEn5VQzDZmgkcwmg3JaDAYBxXW9/5C9sVAHGBxVIFFgK6buhY09CzN7gNQ==" saltValue="lCfrVnHYUpR0qfrHajZKT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0il+7EsviaXqv0P5yRVRxRgxi5f9SUguDeAd/9a8+j+JOGJTW3hw/tsOGKL6HeHJ6Zoaj7pyeWYzOUTrgvb+g==" saltValue="AsmGLVFodBl0QFWkNf6a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ALBACETE  Resumenes por Partidos Judiciales  ALBACETE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246</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386</v>
      </c>
      <c r="O9" s="337"/>
      <c r="P9" s="337"/>
      <c r="Q9" s="229">
        <f>IF(ISNUMBER(Datos!P9),Datos!P9,0)</f>
        <v>1692</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2543</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222</v>
      </c>
      <c r="AI9" s="337" t="str">
        <f>IF(ISNUMBER(Datos!CD9),Datos!CD9,"-")</f>
        <v>-</v>
      </c>
      <c r="AJ9" s="337" t="str">
        <f>IF(ISNUMBER(Datos!EN9),Datos!EN9," - ")</f>
        <v xml:space="preserve"> - </v>
      </c>
      <c r="AK9" s="337"/>
      <c r="AL9" s="482"/>
      <c r="AM9" s="338">
        <f>IF(ISNUMBER(Datos!R9),Datos!R9," - ")</f>
        <v>9253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1651</v>
      </c>
      <c r="BD9" s="232">
        <f>IF(ISNUMBER(Datos!N9),Datos!N9," - ")</f>
        <v>2129</v>
      </c>
      <c r="BE9" s="232" t="str">
        <f>IF(ISNUMBER(Datos!BW9),Datos!BW9," - ")</f>
        <v xml:space="preserve"> - </v>
      </c>
      <c r="BF9" s="231" t="str">
        <f>IF(ISNUMBER(Datos!BX9),Datos!BX9," - ")</f>
        <v xml:space="preserve"> - </v>
      </c>
      <c r="BG9" s="246">
        <f>IF(ISNUMBER(IF(J_V="SI",Datos!K9/Datos!J9,(Datos!K9+Datos!AA9)/(Datos!J9+Datos!Z9))),IF(J_V="SI",Datos!K9/Datos!J9,(Datos!K9+Datos!AA9)/(Datos!J9+Datos!Z9))," - ")</f>
        <v>0.67404383326171036</v>
      </c>
      <c r="BH9" s="263">
        <f>IF(ISNUMBER(((IF(J_V="SI",Datos!L9/Datos!K9,(Datos!L9+Datos!AB9)/(Datos!K9+Datos!AA9)))*11)/factor_trimestre),((IF(J_V="SI",Datos!L9/Datos!K9,(Datos!L9+Datos!AB9)/(Datos!K9+Datos!AA9)))*11)/factor_trimestre," - ")</f>
        <v>14.399585591329297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-8.4224069675376087E-2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76</v>
      </c>
      <c r="G10" s="336">
        <f>IF(ISNUMBER(Datos!I10),Datos!I10," - ")</f>
        <v>88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143</v>
      </c>
      <c r="AC10" s="229">
        <f>IF(ISNUMBER(Datos!Q10),Datos!Q10," - ")</f>
        <v>55</v>
      </c>
      <c r="AD10" s="337"/>
      <c r="AE10" s="487"/>
      <c r="AF10" s="335">
        <f>IF(ISNUMBER(Datos!L10),Datos!L10,"-")</f>
        <v>83</v>
      </c>
      <c r="AG10" s="337"/>
      <c r="AH10" s="337"/>
      <c r="AI10" s="337"/>
      <c r="AJ10" s="337"/>
      <c r="AK10" s="337"/>
      <c r="AL10" s="482"/>
      <c r="AM10" s="338">
        <f>IF(ISNUMBER(Datos!R10),Datos!R10," - ")</f>
        <v>53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61</v>
      </c>
      <c r="BD10" s="232">
        <f>IF(ISNUMBER(Datos!N10),Datos!N10," - ")</f>
        <v>53</v>
      </c>
      <c r="BE10" s="232" t="str">
        <f>IF(ISNUMBER(Datos!BW10),Datos!BW10," - ")</f>
        <v xml:space="preserve"> - </v>
      </c>
      <c r="BF10" s="231" t="str">
        <f>IF(ISNUMBER(Datos!BX10),Datos!BX10," - ")</f>
        <v xml:space="preserve"> - </v>
      </c>
      <c r="BG10" s="246">
        <f>IF(ISNUMBER(Datos!K10/Datos!J10),Datos!K10/Datos!J10," - ")</f>
        <v>0.95333333333333337</v>
      </c>
      <c r="BH10" s="263">
        <f>IF(ISNUMBER(((Datos!L10/Datos!K10)*11)/factor_trimestre),((Datos!L10/Datos!K10)*11)/factor_trimestre," - ")</f>
        <v>6.384615384615385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-0.2318840579710145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649</v>
      </c>
      <c r="O11" s="337"/>
      <c r="P11" s="337"/>
      <c r="Q11" s="229">
        <f>IF(ISNUMBER(Datos!P11),Datos!P11,0)</f>
        <v>191</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100</v>
      </c>
      <c r="AD11" s="337"/>
      <c r="AE11" s="487"/>
      <c r="AF11" s="335" t="str">
        <f>IF(ISNUMBER(IF(J_V="SI",Datos!L11,Datos!L11+Datos!AB11)-IF(Monitorios="SI",Datos!CD11,0)),
                          IF(J_V="SI",Datos!L11,Datos!L11+Datos!AB11)-IF(Monitorios="SI",Datos!CD11,0),
                          " - ")</f>
        <v xml:space="preserve"> - </v>
      </c>
      <c r="AG11" s="337"/>
      <c r="AH11" s="337">
        <f>IF(ISNUMBER(Datos!AB11),Datos!AB11,"-")</f>
        <v>62</v>
      </c>
      <c r="AI11" s="337"/>
      <c r="AJ11" s="337"/>
      <c r="AK11" s="337"/>
      <c r="AL11" s="482"/>
      <c r="AM11" s="338">
        <f>IF(ISNUMBER(Datos!R11),Datos!R11," - ")</f>
        <v>580</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455</v>
      </c>
      <c r="BD11" s="232">
        <f>IF(ISNUMBER(Datos!N11),Datos!N11," - ")</f>
        <v>1108</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0.94481605351170572</v>
      </c>
      <c r="BH11" s="263">
        <f>IF(ISNUMBER(((IF(J_V="SI",Datos!L11/Datos!K11,(Datos!L11+Datos!AB11)/(Datos!K11+Datos!AA11)))*11)/factor_trimestre),((IF(J_V="SI",Datos!L11/Datos!K11,(Datos!L11+Datos!AB11)/(Datos!K11+Datos!AA11)))*11)/factor_trimestre," - ")</f>
        <v>3.7445427728613567</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0.18609406952965235</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9</v>
      </c>
      <c r="F13" s="901">
        <f t="shared" si="0"/>
        <v>76</v>
      </c>
      <c r="G13" s="901">
        <f t="shared" si="0"/>
        <v>88</v>
      </c>
      <c r="H13" s="902">
        <f t="shared" si="0"/>
        <v>0</v>
      </c>
      <c r="I13" s="901">
        <f t="shared" si="0"/>
        <v>0</v>
      </c>
      <c r="J13" s="870">
        <f t="shared" si="0"/>
        <v>0</v>
      </c>
      <c r="K13" s="870">
        <f t="shared" si="0"/>
        <v>0</v>
      </c>
      <c r="L13" s="902">
        <f t="shared" si="0"/>
        <v>0</v>
      </c>
      <c r="M13" s="902">
        <f t="shared" si="0"/>
        <v>0</v>
      </c>
      <c r="N13" s="902">
        <f t="shared" si="0"/>
        <v>1035</v>
      </c>
      <c r="O13" s="903">
        <f t="shared" si="0"/>
        <v>0</v>
      </c>
      <c r="P13" s="903">
        <f t="shared" si="0"/>
        <v>0</v>
      </c>
      <c r="Q13" s="902">
        <f t="shared" si="0"/>
        <v>1922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143</v>
      </c>
      <c r="AC13" s="902">
        <f t="shared" si="1"/>
        <v>2698</v>
      </c>
      <c r="AD13" s="902">
        <f t="shared" si="1"/>
        <v>0</v>
      </c>
      <c r="AE13" s="902">
        <f t="shared" si="1"/>
        <v>0</v>
      </c>
      <c r="AF13" s="902">
        <f t="shared" si="1"/>
        <v>83</v>
      </c>
      <c r="AG13" s="902">
        <f t="shared" si="1"/>
        <v>0</v>
      </c>
      <c r="AH13" s="902">
        <f t="shared" si="1"/>
        <v>284</v>
      </c>
      <c r="AI13" s="902">
        <f t="shared" si="1"/>
        <v>0</v>
      </c>
      <c r="AJ13" s="902">
        <f t="shared" si="1"/>
        <v>0</v>
      </c>
      <c r="AK13" s="902">
        <f t="shared" si="1"/>
        <v>0</v>
      </c>
      <c r="AL13" s="902">
        <f t="shared" si="1"/>
        <v>0</v>
      </c>
      <c r="AM13" s="902">
        <f t="shared" si="1"/>
        <v>9886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2167</v>
      </c>
      <c r="BD13" s="902">
        <f t="shared" si="1"/>
        <v>3290</v>
      </c>
      <c r="BE13" s="902">
        <f t="shared" si="1"/>
        <v>0</v>
      </c>
      <c r="BF13" s="902">
        <f t="shared" si="1"/>
        <v>0</v>
      </c>
      <c r="BG13" s="902">
        <f>IF(ISNUMBER(Datos!K13/Datos!J13),Datos!K13/Datos!J13," - ")</f>
        <v>0.69736713320935695</v>
      </c>
      <c r="BH13" s="906">
        <f>IF(ISNUMBER(((Datos!L13/Datos!K13)*11)/factor_trimestre),((Datos!L13/Datos!K13)*11)/factor_trimestre," - ")</f>
        <v>13.260210526315788</v>
      </c>
      <c r="BI13" s="902">
        <f>IF(ISNUMBER('Resol  Asuntos'!D13/NºAsuntos!G13),'Resol  Asuntos'!D13/NºAsuntos!G13," - ")</f>
        <v>0.26713510848126232</v>
      </c>
      <c r="BJ13" s="902" t="str">
        <f>IF(ISNUMBER(Datos!CI13/Datos!CJ13),Datos!CI13/Datos!CJ13," - ")</f>
        <v xml:space="preserve"> - </v>
      </c>
      <c r="BK13" s="902">
        <f>SUBTOTAL(9,BK8:BK12)</f>
        <v>0</v>
      </c>
      <c r="BL13" s="902">
        <f>IF(ISNUMBER((I13-AB13+L13)/(F13)),(I13-AB13+L13)/(F13)," - ")</f>
        <v>-1.881578947368421</v>
      </c>
      <c r="BM13" s="907">
        <f>SUBTOTAL(9,BM9:BM12)</f>
        <v>-0.13001405811673822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396</v>
      </c>
      <c r="C15" s="603" t="str">
        <f>Datos!A15</f>
        <v xml:space="preserve">Jdos. Instrucción                               </v>
      </c>
      <c r="D15" s="604"/>
      <c r="E15" s="1168">
        <f>IF(ISNUMBER(Datos!AQ15),Datos!AQ15," - ")</f>
        <v>3</v>
      </c>
      <c r="F15" s="598">
        <f>IF(ISNUMBER(AF15+AB15-Datos!J15-L15),AF15+AB15-Datos!J15-L15," - ")</f>
        <v>3347</v>
      </c>
      <c r="G15" s="601">
        <f>IF(ISNUMBER(IF(D_I="SI",Datos!I15,Datos!I15+Datos!AC15)),IF(D_I="SI",Datos!I15,Datos!I15+Datos!AC15)," - ")</f>
        <v>3316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629</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7951</v>
      </c>
      <c r="AC15" s="229">
        <f>IF(ISNUMBER(Datos!Q15),Datos!Q15," - ")</f>
        <v>536</v>
      </c>
      <c r="AD15" s="337"/>
      <c r="AE15" s="487"/>
      <c r="AF15" s="599">
        <f>IF(ISNUMBER(IF(D_I="SI",Datos!L15,Datos!L15+Datos!AF15)),IF(D_I="SI",Datos!L15,Datos!L15+Datos!AF15)," - ")</f>
        <v>4013</v>
      </c>
      <c r="AG15" s="337"/>
      <c r="AH15" s="337"/>
      <c r="AI15" s="337"/>
      <c r="AJ15" s="337"/>
      <c r="AK15" s="337"/>
      <c r="AL15" s="482"/>
      <c r="AM15" s="338">
        <f>IF(ISNUMBER(Datos!R15),Datos!R15," - ")</f>
        <v>632</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1219</v>
      </c>
      <c r="BD15" s="232">
        <f>IF(ISNUMBER(Datos!N15),Datos!N15," - ")</f>
        <v>4031</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0.92271092027387724</v>
      </c>
      <c r="BH15" s="263">
        <f>IF(ISNUMBER(((IF(D_I="SI",Datos!L15/Datos!K15,(Datos!L15+Datos!AF15)/(Datos!K15+Datos!AE15)))*11)/factor_trimestre),((IF(D_I="SI",Datos!L15/Datos!K15,(Datos!L15+Datos!AF15)/(Datos!K15+Datos!AE15)))*11)/factor_trimestre," - ")</f>
        <v>5.5518802666331277</v>
      </c>
      <c r="BI15" s="246">
        <f>IF(ISNUMBER('Resol  Asuntos'!D15/NºAsuntos!G15),'Resol  Asuntos'!D15/NºAsuntos!G15," - ")</f>
        <v>0.15331404854735253</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274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988</v>
      </c>
      <c r="AC17" s="229">
        <f>IF(ISNUMBER(Datos!Q17),Datos!Q17," - ")</f>
        <v>5</v>
      </c>
      <c r="AD17" s="337"/>
      <c r="AE17" s="487"/>
      <c r="AF17" s="335">
        <f>IF(ISNUMBER(Datos!L17),Datos!L17,"-")</f>
        <v>334</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36</v>
      </c>
      <c r="BD17" s="232">
        <f>IF(ISNUMBER(Datos!N17),Datos!N17," - ")</f>
        <v>526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0.94364851957975171</v>
      </c>
      <c r="BH17" s="263">
        <f>IF(ISNUMBER(((IF(D_I="SI",Datos!L17/Datos!K17,(Datos!L17+Datos!AF17)/(Datos!K17+Datos!AE17)))*11)/factor_trimestre),((IF(D_I="SI",Datos!L17/Datos!K17,(Datos!L17+Datos!AF17)/(Datos!K17+Datos!AE17)))*11)/factor_trimestre," - ")</f>
        <v>3.7186234817813766</v>
      </c>
      <c r="BI17" s="246">
        <f>IF(ISNUMBER('Resol  Asuntos'!D17/NºAsuntos!G17),'Resol  Asuntos'!D17/NºAsuntos!G17," - ")</f>
        <v>3.643724696356275E-2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3347</v>
      </c>
      <c r="G18" s="901">
        <f>SUBTOTAL(9,G15:G17)</f>
        <v>3590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640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8939</v>
      </c>
      <c r="AC18" s="902">
        <f t="shared" si="4"/>
        <v>541</v>
      </c>
      <c r="AD18" s="902">
        <f t="shared" si="4"/>
        <v>0</v>
      </c>
      <c r="AE18" s="902">
        <f t="shared" si="4"/>
        <v>0</v>
      </c>
      <c r="AF18" s="902">
        <f t="shared" si="4"/>
        <v>4347</v>
      </c>
      <c r="AG18" s="902">
        <f t="shared" si="4"/>
        <v>0</v>
      </c>
      <c r="AH18" s="902">
        <f t="shared" si="4"/>
        <v>0</v>
      </c>
      <c r="AI18" s="902">
        <f t="shared" si="4"/>
        <v>0</v>
      </c>
      <c r="AJ18" s="902">
        <f t="shared" si="4"/>
        <v>0</v>
      </c>
      <c r="AK18" s="902">
        <f t="shared" si="4"/>
        <v>0</v>
      </c>
      <c r="AL18" s="902">
        <f t="shared" si="4"/>
        <v>0</v>
      </c>
      <c r="AM18" s="902">
        <f t="shared" si="4"/>
        <v>638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1255</v>
      </c>
      <c r="BD18" s="902">
        <f t="shared" si="4"/>
        <v>4557</v>
      </c>
      <c r="BE18" s="902">
        <f t="shared" si="4"/>
        <v>0</v>
      </c>
      <c r="BF18" s="902">
        <f t="shared" si="4"/>
        <v>0</v>
      </c>
      <c r="BG18" s="902">
        <f>IF(ISNUMBER(Datos!K18/Datos!J18),Datos!K18/Datos!J18," - ")</f>
        <v>0.92497930463576161</v>
      </c>
      <c r="BH18" s="906">
        <f>IF(ISNUMBER(((Datos!L18/Datos!K18)*11)/factor_trimestre),((Datos!L18/Datos!K18)*11)/factor_trimestre," - ")</f>
        <v>5.3492560689115116</v>
      </c>
      <c r="BI18" s="902">
        <f>SUBTOTAL(9,BI15:BI17)</f>
        <v>0.1897512955109153</v>
      </c>
      <c r="BJ18" s="902">
        <f>SUBTOTAL(9,BJ15:BJ17)</f>
        <v>0</v>
      </c>
      <c r="BK18" s="902">
        <f>SUBTOTAL(9,BK15:BK17)</f>
        <v>0</v>
      </c>
      <c r="BL18" s="902">
        <f>IF(ISNUMBER((I18-AB18+L18)/(F18)),(I18-AB18+L18)/(F18)," - ")</f>
        <v>-2.6707499253062443</v>
      </c>
      <c r="BM18" s="908">
        <f>IF(ISNUMBER((Datos!P18-Datos!Q18)/(Datos!R18-Datos!P18+Datos!Q18)),(Datos!P18-Datos!Q18)/(Datos!R18-Datos!P18+Datos!Q18)," - ")</f>
        <v>0.18367346938775511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13</v>
      </c>
      <c r="F19" s="823">
        <f t="shared" si="6"/>
        <v>3423</v>
      </c>
      <c r="G19" s="823">
        <f t="shared" si="6"/>
        <v>3678</v>
      </c>
      <c r="H19" s="825">
        <f t="shared" si="6"/>
        <v>0</v>
      </c>
      <c r="I19" s="823">
        <f t="shared" si="6"/>
        <v>0</v>
      </c>
      <c r="J19" s="825">
        <f t="shared" si="6"/>
        <v>0</v>
      </c>
      <c r="K19" s="825">
        <f t="shared" si="6"/>
        <v>0</v>
      </c>
      <c r="L19" s="884">
        <f t="shared" si="6"/>
        <v>0</v>
      </c>
      <c r="M19" s="884">
        <f t="shared" si="6"/>
        <v>0</v>
      </c>
      <c r="N19" s="884">
        <f t="shared" si="6"/>
        <v>1035</v>
      </c>
      <c r="O19" s="884">
        <f t="shared" si="6"/>
        <v>0</v>
      </c>
      <c r="P19" s="884">
        <f t="shared" si="6"/>
        <v>0</v>
      </c>
      <c r="Q19" s="825">
        <f t="shared" si="6"/>
        <v>2562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9082</v>
      </c>
      <c r="AC19" s="824">
        <f t="shared" si="7"/>
        <v>3239</v>
      </c>
      <c r="AD19" s="824">
        <f t="shared" si="7"/>
        <v>0</v>
      </c>
      <c r="AE19" s="824">
        <f t="shared" si="7"/>
        <v>0</v>
      </c>
      <c r="AF19" s="831">
        <f t="shared" si="7"/>
        <v>4430</v>
      </c>
      <c r="AG19" s="831">
        <f t="shared" si="7"/>
        <v>0</v>
      </c>
      <c r="AH19" s="831">
        <f t="shared" si="7"/>
        <v>284</v>
      </c>
      <c r="AI19" s="831">
        <f t="shared" si="7"/>
        <v>0</v>
      </c>
      <c r="AJ19" s="824">
        <f t="shared" si="7"/>
        <v>0</v>
      </c>
      <c r="AK19" s="831">
        <f t="shared" si="7"/>
        <v>0</v>
      </c>
      <c r="AL19" s="831">
        <f t="shared" si="7"/>
        <v>0</v>
      </c>
      <c r="AM19" s="831">
        <f t="shared" si="7"/>
        <v>10524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3422</v>
      </c>
      <c r="BD19" s="823">
        <f t="shared" si="7"/>
        <v>7847</v>
      </c>
      <c r="BE19" s="823">
        <f t="shared" si="7"/>
        <v>0</v>
      </c>
      <c r="BF19" s="833">
        <f t="shared" si="7"/>
        <v>0</v>
      </c>
      <c r="BG19" s="918">
        <f>IF(ISNUMBER(Datos!K19/Datos!J19),Datos!K19/Datos!J19," - ")</f>
        <v>0.8080076454906695</v>
      </c>
      <c r="BH19" s="918">
        <f>IF(ISNUMBER(((Datos!L19/Datos!K19)*11)/factor_trimestre),((Datos!L19/Datos!K19)*11)/factor_trimestre," - ")</f>
        <v>8.8580677290836647</v>
      </c>
      <c r="BI19" s="816">
        <f>IF(ISNUMBER(Datos!J19/Datos!I19),Datos!J19/Datos!I19," - ")</f>
        <v>2.1825666922823581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-2.6532281624306164</v>
      </c>
      <c r="BM19" s="892">
        <f>IF(ISNUMBER((Datos!P19-Datos!Q19+R19)/(Datos!R19-Datos!P19+Datos!Q19-R19)),(Datos!P19-Datos!Q19+R19)/(Datos!R19-Datos!P19+Datos!Q19-R19)," - ")</f>
        <v>-6.0441032050709761E-2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1471.2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3.018461712712472</v>
      </c>
      <c r="F21" s="554">
        <f>IF(ISNUMBER(STDEV(F8:F18)),STDEV(F8:F18),"-")</f>
        <v>1888.5127305192659</v>
      </c>
      <c r="G21" s="555">
        <f>IF(ISNUMBER(STDEV(G8:G18)),STDEV(G8:G18),"-")</f>
        <v>1813.3100121049351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4420.2653992718579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816.82734085111565</v>
      </c>
      <c r="BD21" s="554"/>
      <c r="BE21" s="554">
        <f>IF(ISNUMBER(STDEV(BE8:BE18)),STDEV(BE8:BE18),"-")</f>
        <v>0</v>
      </c>
      <c r="BF21" s="559">
        <f>IF(ISNUMBER(STDEV(BF8:BF18)),STDEV(BF8:BF18),"-")</f>
        <v>0</v>
      </c>
      <c r="BG21" s="778">
        <f>IF(ISNUMBER(STDEV(BG8:BG18)),STDEV(BG8:BG18),"-")</f>
        <v>0.12372489739937099</v>
      </c>
      <c r="BH21" s="779">
        <f>IF(ISNUMBER(STDEV(BH8:BH18)),STDEV(BH8:BH18),"-")</f>
        <v>4.4506616801057657</v>
      </c>
      <c r="BI21" s="252">
        <f>IF(ISNUMBER(STDEV(BI8:BI18)),STDEV(BI8:BI18),"-")</f>
        <v>9.6028662691523242E-2</v>
      </c>
      <c r="BJ21" s="233" t="str">
        <f>IF(ISNUMBER(BL21/BM21),BL21/BM21," - ")</f>
        <v xml:space="preserve"> - </v>
      </c>
      <c r="BK21" s="578"/>
      <c r="BL21" s="562">
        <f>IF(ISNUMBER(STDEV(BL8:BL18)),STDEV(BL8:BL18),"-")</f>
        <v>0.55802815001545591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9AjFqYtUKq99RBUKNZ4OfdITGy7fimLaXllFV8uvtBVN0I+pUwksE2tBRvp/3otYVu17gXGQhoaI+sSytB/OPQ==" saltValue="95iVvzVaoOs49IIW7+Oz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ALBACETE  Resumenes por Partidos Judiciales  ALBACETE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1692</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2543</v>
      </c>
      <c r="AA9" s="335" t="str">
        <f>IF(ISNUMBER(IF(J_V="SI",Datos!L9,Datos!L9+Datos!AB9)-IF(Monitorios="SI",Datos!CD9,0)),
                          IF(J_V="SI",Datos!L9,Datos!L9+Datos!AB9)-IF(Monitorios="SI",Datos!CD9,0),
                          " - ")</f>
        <v xml:space="preserve"> - </v>
      </c>
      <c r="AB9" s="337"/>
      <c r="AC9" s="337"/>
      <c r="AD9" s="487"/>
      <c r="AE9" s="487">
        <f>IF(ISNUMBER(Datos!R9),Datos!R9," - ")</f>
        <v>9253</v>
      </c>
      <c r="AF9" s="232" t="str">
        <f>IF(ISNUMBER(Datos!BV9),Datos!BV9," - ")</f>
        <v xml:space="preserve"> - </v>
      </c>
      <c r="AG9" s="228" t="str">
        <f>IF(ISNUMBER(Datos!DV9),Datos!DV9," - ")</f>
        <v xml:space="preserve"> - </v>
      </c>
      <c r="AH9" s="301"/>
      <c r="AI9" s="230"/>
      <c r="AJ9" s="228">
        <f>IF(ISNUMBER(Datos!M9),Datos!M9," - ")</f>
        <v>1651</v>
      </c>
      <c r="AK9" s="232">
        <f>IF(ISNUMBER(Datos!N9),Datos!N9," - ")</f>
        <v>2129</v>
      </c>
      <c r="AL9" s="232" t="str">
        <f>IF(ISNUMBER(Datos!BW9),Datos!BW9," - ")</f>
        <v xml:space="preserve"> - </v>
      </c>
      <c r="AM9" s="231" t="str">
        <f>IF(ISNUMBER(Datos!BX9),Datos!BX9," - ")</f>
        <v xml:space="preserve"> - </v>
      </c>
      <c r="AN9" s="246"/>
      <c r="AO9" s="263">
        <f>IF(ISNUMBER(((NºAsuntos!I9/NºAsuntos!G9)*11)/factor_trimestre),((NºAsuntos!I9/NºAsuntos!G9)*11)/factor_trimestre," - ")</f>
        <v>14.399585591329297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-8.4224069675376087E-2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76</v>
      </c>
      <c r="G10" s="228">
        <f>IF(ISNUMBER(Datos!I10),Datos!I10," - ")</f>
        <v>88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143</v>
      </c>
      <c r="Z10" s="622">
        <f>IF(ISNUMBER(Datos!Q10),Datos!Q10," - ")</f>
        <v>55</v>
      </c>
      <c r="AA10" s="335">
        <f>IF(ISNUMBER(Datos!L10),Datos!L10,"-")</f>
        <v>83</v>
      </c>
      <c r="AB10" s="337"/>
      <c r="AC10" s="337"/>
      <c r="AD10" s="487"/>
      <c r="AE10" s="487">
        <f>IF(ISNUMBER(Datos!R10),Datos!R10," - ")</f>
        <v>53</v>
      </c>
      <c r="AF10" s="232" t="str">
        <f>IF(ISNUMBER(Datos!BV10),Datos!BV10," - ")</f>
        <v xml:space="preserve"> - </v>
      </c>
      <c r="AG10" s="228" t="str">
        <f>IF(ISNUMBER(Datos!DV10),Datos!DV10," - ")</f>
        <v xml:space="preserve"> - </v>
      </c>
      <c r="AH10" s="301"/>
      <c r="AI10" s="230"/>
      <c r="AJ10" s="228">
        <f>IF(ISNUMBER(Datos!M10),Datos!M10," - ")</f>
        <v>61</v>
      </c>
      <c r="AK10" s="232">
        <f>IF(ISNUMBER(Datos!N10),Datos!N10," - ")</f>
        <v>53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6.384615384615385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-0.2318840579710145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191</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100</v>
      </c>
      <c r="AA11" s="335" t="str">
        <f>IF(ISNUMBER(IF(J_V="SI",Datos!L11,Datos!L11+Datos!AB11)-IF(Monitorios="SI",Datos!CD11,0)),
                          IF(J_V="SI",Datos!L11,Datos!L11+Datos!AB11)-IF(Monitorios="SI",Datos!CD11,0),
                          " - ")</f>
        <v xml:space="preserve"> - </v>
      </c>
      <c r="AB11" s="337"/>
      <c r="AC11" s="337"/>
      <c r="AD11" s="487"/>
      <c r="AE11" s="487">
        <f>IF(ISNUMBER(Datos!R11),Datos!R11," - ")</f>
        <v>580</v>
      </c>
      <c r="AF11" s="232" t="str">
        <f>IF(ISNUMBER(Datos!BV11),Datos!BV11," - ")</f>
        <v xml:space="preserve"> - </v>
      </c>
      <c r="AG11" s="228" t="str">
        <f>IF(ISNUMBER(Datos!DV11),Datos!DV11," - ")</f>
        <v xml:space="preserve"> - </v>
      </c>
      <c r="AH11" s="301"/>
      <c r="AI11" s="230"/>
      <c r="AJ11" s="228">
        <f>IF(ISNUMBER(Datos!M11),Datos!M11," - ")</f>
        <v>455</v>
      </c>
      <c r="AK11" s="232">
        <f>IF(ISNUMBER(Datos!N11),Datos!N11," - ")</f>
        <v>1108</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3.7445427728613567</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0.18609406952965235</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9</v>
      </c>
      <c r="F13" s="901">
        <f>SUBTOTAL(9,F8:F12)</f>
        <v>76</v>
      </c>
      <c r="G13" s="901">
        <f>SUBTOTAL(9,G8:G12)</f>
        <v>88</v>
      </c>
      <c r="H13" s="911"/>
      <c r="I13" s="901">
        <f t="shared" ref="I13:N13" si="0">SUBTOTAL(9,I8:I12)</f>
        <v>0</v>
      </c>
      <c r="J13" s="870">
        <f t="shared" si="0"/>
        <v>0</v>
      </c>
      <c r="K13" s="911">
        <f t="shared" si="0"/>
        <v>0</v>
      </c>
      <c r="L13" s="911">
        <f t="shared" si="0"/>
        <v>0</v>
      </c>
      <c r="M13" s="911">
        <f t="shared" si="0"/>
        <v>0</v>
      </c>
      <c r="N13" s="911">
        <f t="shared" si="0"/>
        <v>1922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143</v>
      </c>
      <c r="Z13" s="910">
        <f t="shared" si="2"/>
        <v>2698</v>
      </c>
      <c r="AA13" s="903">
        <f t="shared" si="2"/>
        <v>83</v>
      </c>
      <c r="AB13" s="903">
        <f t="shared" si="2"/>
        <v>0</v>
      </c>
      <c r="AC13" s="903">
        <f t="shared" si="2"/>
        <v>0</v>
      </c>
      <c r="AD13" s="903">
        <f t="shared" si="2"/>
        <v>0</v>
      </c>
      <c r="AE13" s="903">
        <f t="shared" si="2"/>
        <v>9886</v>
      </c>
      <c r="AF13" s="911">
        <f t="shared" si="2"/>
        <v>0</v>
      </c>
      <c r="AG13" s="911">
        <f t="shared" si="2"/>
        <v>0</v>
      </c>
      <c r="AH13" s="911">
        <f t="shared" si="2"/>
        <v>0</v>
      </c>
      <c r="AI13" s="911">
        <f t="shared" si="2"/>
        <v>0</v>
      </c>
      <c r="AJ13" s="911">
        <f t="shared" si="2"/>
        <v>2167</v>
      </c>
      <c r="AK13" s="911">
        <f t="shared" si="2"/>
        <v>3290</v>
      </c>
      <c r="AL13" s="911">
        <f t="shared" si="2"/>
        <v>0</v>
      </c>
      <c r="AM13" s="911">
        <f t="shared" si="2"/>
        <v>0</v>
      </c>
      <c r="AN13" s="911">
        <f t="shared" si="2"/>
        <v>0</v>
      </c>
      <c r="AO13" s="907">
        <f>IF(ISNUMBER(((NºAsuntos!I13/NºAsuntos!G13)*11)/factor_trimestre),((NºAsuntos!I13/NºAsuntos!G13)*11)/factor_trimestre," - ")</f>
        <v>12.031928007889547</v>
      </c>
      <c r="AP13" s="913" t="str">
        <f>IF(ISNUMBER(Datos!CI13/Datos!CJ13),Datos!CI13/Datos!CJ13," - ")</f>
        <v xml:space="preserve"> - </v>
      </c>
      <c r="AQ13" s="931">
        <f t="shared" ref="AQ13:AV13" si="3">SUBTOTAL(9,AQ9:AQ12)</f>
        <v>0</v>
      </c>
      <c r="AR13" s="931">
        <f t="shared" si="3"/>
        <v>-0.13001405811673822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396</v>
      </c>
      <c r="C15" s="163" t="str">
        <f>Datos!A15</f>
        <v xml:space="preserve">Jdos. Instrucción                               </v>
      </c>
      <c r="D15" s="505"/>
      <c r="E15" s="1171">
        <f>IF(ISNUMBER(Datos!AQ15),Datos!AQ15," - ")</f>
        <v>3</v>
      </c>
      <c r="F15" s="336">
        <f>IF(ISNUMBER(AA15+Y15-Datos!J15-K15),AA15+Y15-Datos!J15-K15," - ")</f>
        <v>3347</v>
      </c>
      <c r="G15" s="228">
        <f>IF(ISNUMBER(IF(D_I="SI",Datos!I15,Datos!I15+Datos!AC15)),IF(D_I="SI",Datos!I15,Datos!I15+Datos!AC15)," - ")</f>
        <v>3316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629</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7951</v>
      </c>
      <c r="Z15" s="622">
        <f>IF(ISNUMBER(Datos!Q15),Datos!Q15," - ")</f>
        <v>536</v>
      </c>
      <c r="AA15" s="335">
        <f>IF(ISNUMBER(IF(D_I="SI",Datos!L15,Datos!L15+Datos!AF15)),IF(D_I="SI",Datos!L15,Datos!L15+Datos!AF15)," - ")</f>
        <v>4013</v>
      </c>
      <c r="AB15" s="337"/>
      <c r="AC15" s="337"/>
      <c r="AD15" s="487"/>
      <c r="AE15" s="487">
        <f>IF(ISNUMBER(Datos!R15),Datos!R15," - ")</f>
        <v>632</v>
      </c>
      <c r="AF15" s="232" t="str">
        <f>IF(ISNUMBER(Datos!BV15),Datos!BV15," - ")</f>
        <v xml:space="preserve"> - </v>
      </c>
      <c r="AG15" s="228"/>
      <c r="AH15" s="301"/>
      <c r="AI15" s="230"/>
      <c r="AJ15" s="228">
        <f>IF(ISNUMBER(Datos!M15),Datos!M15," - ")</f>
        <v>1219</v>
      </c>
      <c r="AK15" s="232">
        <f>IF(ISNUMBER(Datos!N15),Datos!N15," - ")</f>
        <v>4031</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5.5518802666331277</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274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988</v>
      </c>
      <c r="Z17" s="622">
        <f>IF(ISNUMBER(Datos!Q17),Datos!Q17," - ")</f>
        <v>5</v>
      </c>
      <c r="AA17" s="335">
        <f>IF(ISNUMBER(Datos!L17),Datos!L17,"-")</f>
        <v>334</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36</v>
      </c>
      <c r="AK17" s="232">
        <f>IF(ISNUMBER(Datos!N17),Datos!N17," - ")</f>
        <v>526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3.7186234817813766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3347</v>
      </c>
      <c r="G18" s="901">
        <f>SUBTOTAL(9,G15:G17)</f>
        <v>3590</v>
      </c>
      <c r="H18" s="935">
        <f>SUBTOTAL(9,H15:H17)</f>
        <v>0</v>
      </c>
      <c r="I18" s="914">
        <f>SUBTOTAL(9,I15:I17)</f>
        <v>0</v>
      </c>
      <c r="J18" s="870">
        <f>SUBTOTAL(9,J14:J17)</f>
        <v>0</v>
      </c>
      <c r="K18" s="935">
        <f t="shared" ref="K18:S18" si="4">SUBTOTAL(9,K15:K17)</f>
        <v>0</v>
      </c>
      <c r="L18" s="935">
        <f t="shared" si="4"/>
        <v>0</v>
      </c>
      <c r="M18" s="935">
        <f t="shared" si="4"/>
        <v>0</v>
      </c>
      <c r="N18" s="935">
        <f t="shared" si="4"/>
        <v>640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8939</v>
      </c>
      <c r="Z18" s="935">
        <f t="shared" si="5"/>
        <v>541</v>
      </c>
      <c r="AA18" s="935">
        <f t="shared" si="5"/>
        <v>4347</v>
      </c>
      <c r="AB18" s="935">
        <f t="shared" si="5"/>
        <v>0</v>
      </c>
      <c r="AC18" s="935">
        <f t="shared" si="5"/>
        <v>0</v>
      </c>
      <c r="AD18" s="935">
        <f t="shared" si="5"/>
        <v>0</v>
      </c>
      <c r="AE18" s="935">
        <f t="shared" si="5"/>
        <v>638</v>
      </c>
      <c r="AF18" s="935">
        <f t="shared" si="5"/>
        <v>0</v>
      </c>
      <c r="AG18" s="935">
        <f t="shared" si="5"/>
        <v>0</v>
      </c>
      <c r="AH18" s="935">
        <f t="shared" si="5"/>
        <v>0</v>
      </c>
      <c r="AI18" s="935">
        <f t="shared" si="5"/>
        <v>0</v>
      </c>
      <c r="AJ18" s="935">
        <f t="shared" si="5"/>
        <v>1255</v>
      </c>
      <c r="AK18" s="935">
        <f t="shared" si="5"/>
        <v>4557</v>
      </c>
      <c r="AL18" s="935">
        <f t="shared" si="5"/>
        <v>0</v>
      </c>
      <c r="AM18" s="935">
        <f t="shared" si="5"/>
        <v>0</v>
      </c>
      <c r="AN18" s="935">
        <f t="shared" si="5"/>
        <v>0</v>
      </c>
      <c r="AO18" s="937">
        <f>IF(ISNUMBER(((NºAsuntos!I18/NºAsuntos!G18)*11)/factor_trimestre),((NºAsuntos!I18/NºAsuntos!G18)*11)/factor_trimestre," - ")</f>
        <v>5.3492560689115116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13</v>
      </c>
      <c r="F19" s="823">
        <f t="shared" si="7"/>
        <v>3423</v>
      </c>
      <c r="G19" s="823">
        <f t="shared" si="7"/>
        <v>3678</v>
      </c>
      <c r="H19" s="824">
        <f t="shared" si="7"/>
        <v>0</v>
      </c>
      <c r="I19" s="823">
        <f t="shared" si="7"/>
        <v>0</v>
      </c>
      <c r="J19" s="825">
        <f t="shared" si="7"/>
        <v>0</v>
      </c>
      <c r="K19" s="823">
        <f t="shared" si="7"/>
        <v>0</v>
      </c>
      <c r="L19" s="826">
        <f t="shared" si="7"/>
        <v>0</v>
      </c>
      <c r="M19" s="823">
        <f t="shared" si="7"/>
        <v>0</v>
      </c>
      <c r="N19" s="824">
        <f t="shared" si="7"/>
        <v>2562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9082</v>
      </c>
      <c r="Z19" s="830">
        <f t="shared" si="8"/>
        <v>3239</v>
      </c>
      <c r="AA19" s="831">
        <f t="shared" si="8"/>
        <v>4430</v>
      </c>
      <c r="AB19" s="831">
        <f t="shared" si="8"/>
        <v>0</v>
      </c>
      <c r="AC19" s="831">
        <f t="shared" si="8"/>
        <v>0</v>
      </c>
      <c r="AD19" s="832">
        <f t="shared" si="8"/>
        <v>0</v>
      </c>
      <c r="AE19" s="832">
        <f t="shared" si="8"/>
        <v>10524</v>
      </c>
      <c r="AF19" s="833">
        <f t="shared" si="8"/>
        <v>0</v>
      </c>
      <c r="AG19" s="834">
        <f t="shared" si="8"/>
        <v>0</v>
      </c>
      <c r="AH19" s="835">
        <f t="shared" si="8"/>
        <v>0</v>
      </c>
      <c r="AI19" s="833">
        <f t="shared" si="8"/>
        <v>0</v>
      </c>
      <c r="AJ19" s="823">
        <f t="shared" si="8"/>
        <v>3422</v>
      </c>
      <c r="AK19" s="823">
        <f t="shared" si="8"/>
        <v>7847</v>
      </c>
      <c r="AL19" s="823">
        <f t="shared" si="8"/>
        <v>0</v>
      </c>
      <c r="AM19" s="836">
        <f t="shared" si="8"/>
        <v>0</v>
      </c>
      <c r="AN19" s="826">
        <f>IF(ISNUMBER(Datos!K19/Datos!J19),Datos!K19/Datos!J19," - ")</f>
        <v>0.8080076454906695</v>
      </c>
      <c r="AO19" s="826">
        <f>IF(ISNUMBER(FIND("06",Criterios!A8,1)),(IF(ISNUMBER(((Datos!R19/Datos!Q19)*11)/factor_trimestre),((Datos!R19/Datos!Q19)*11)/factor_trimestre," - ")),(IF(ISNUMBER(((Datos!L19/Datos!K19)*11)/factor_trimestre),((Datos!L19/Datos!K19)*11)/factor_trimestre," - ")))</f>
        <v>8.8580677290836647</v>
      </c>
      <c r="AP19" s="837" t="str">
        <f>IF(ISNUMBER(Datos!CI19/Datos!CJ19),Datos!CI19/Datos!CJ19," - ")</f>
        <v xml:space="preserve"> - </v>
      </c>
      <c r="AQ19" s="837">
        <f>IF(OR(ISNUMBER(FIND("01",Criterios!A8,1)),ISNUMBER(FIND("02",Criterios!A8,1)),ISNUMBER(FIND("03",Criterios!A8,1)),ISNUMBER(FIND("04",Criterios!A8,1))),(J19-Y19+K19)/(F19-K19),(I19-Y19+K19)/(F19-K19))</f>
        <v>-2.6532281624306164</v>
      </c>
      <c r="AR19" s="837">
        <f>IF(ISNUMBER((Datos!P19-Datos!Q19+O19)/(Datos!R19-Datos!P19+Datos!Q19-O19)),(Datos!P19-Datos!Q19+O19)/(Datos!R19-Datos!P19+Datos!Q19-O19)," - ")</f>
        <v>-6.0441032050709761E-2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1471.2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1888.5127305192659</v>
      </c>
      <c r="G21" s="555">
        <f>IF(ISNUMBER(STDEV(G8:G18)),STDEV(G8:G18),"-")</f>
        <v>1813.3100121049351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816.82734085111565</v>
      </c>
      <c r="AK21" s="255"/>
      <c r="AL21" s="255">
        <f>IF(ISNUMBER(STDEV(AL8:AL18)),STDEV(AL8:AL18),"-")</f>
        <v>0</v>
      </c>
      <c r="AM21" s="257">
        <f>IF(ISNUMBER(STDEV(AM8:AM18)),STDEV(AM8:AM18),"-")</f>
        <v>0</v>
      </c>
      <c r="AN21" s="542">
        <f>IF(ISNUMBER(STDEV(AN8:AN18)),STDEV(AN8:AN18),"-")</f>
        <v>0</v>
      </c>
      <c r="AO21" s="543">
        <f>IF(ISNUMBER(STDEV(AO8:AO18)),STDEV(AO8:AO18),"-")</f>
        <v>4.2024025153039348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tKhXHAATO9YzW5Uiqg+ZPyA/rrOITeTPE8Ak66pp4yS7NPHMHq6UeeXDW2hD1H50tFfr9LKMHUs7ks/g2qY6Mw==" saltValue="aL0clytpXC7p0OuFJQc6K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c3uzaYCQQ3EN5Qia99LhJkqLjzECVusmut02XBDVv7ZYvX3Re3M1gMMJNUheRjmYTZj1Fc4E9MEim52Pt0R3bg==" saltValue="iRpys7lrMhIGb/QYeNdC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heaZvod6siRG60vF+HlqgFsSe5+DS80Pw+miM3LXe/MKo8dnmXVXhzFnzPnMn88F/+Z7lHe8W5KQ4faMdCCrg==" saltValue="pjAYQeAlpefkRtoUuf2et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ALBACETE  Resumenes por Partidos Judiciales  ALBACETE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0.26713510848126232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0.18889304670010459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cb/nzGlTB8WqvPnS2BIJnRDIFUaQkvDcua28AL7n5dOnAFhMH+3mlcJHY4w4kX4dXZPJrFxvsmQrnpOY8mRE9A==" saltValue="r9aDlDoyGJet+Q8AwlCC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W/23O8NRGZtpTdbt73RtRK0O419Tq7/y06C7fFd94RryijEd9gsCDvI9mhwPq9sWtgASrv6uN1ymwjFwKdn/Ig==" saltValue="NQuEKfCYCQwuPdnetJgA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ALBACETE</v>
      </c>
      <c r="D3" s="378"/>
      <c r="E3" s="378"/>
      <c r="F3" s="378"/>
    </row>
    <row r="4" spans="1:14" ht="13.5" thickBot="1">
      <c r="A4" s="378"/>
      <c r="B4" s="394" t="str">
        <f>Criterios!A11 &amp;"  "&amp;Criterios!B11</f>
        <v>Resumenes por Partidos Judiciales  ALBACETE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5183</v>
      </c>
      <c r="D9" s="407">
        <f>IF(ISNUMBER(C9/Datos!BH9),C9/Datos!BH9," - ")</f>
        <v>863.83333333333337</v>
      </c>
      <c r="E9" s="406">
        <f>IF(ISNUMBER(IF(J_V="SI",Datos!J9,Datos!J9+Datos!Z9)),IF(J_V="SI",Datos!J9,Datos!J9+Datos!Z9)," - ")</f>
        <v>9308</v>
      </c>
      <c r="F9" s="407">
        <f>IF(ISNUMBER(E9/B9),E9/B9," - ")</f>
        <v>1551.3333333333333</v>
      </c>
      <c r="G9" s="406">
        <f>IF(ISNUMBER(IF(J_V="SI",Datos!K9,Datos!K9+Datos!AA9)),IF(J_V="SI",Datos!K9,Datos!K9+Datos!AA9)," - ")</f>
        <v>6274</v>
      </c>
      <c r="H9" s="407">
        <f>IF(ISNUMBER(G9/B9),G9/B9," - ")</f>
        <v>1045.6666666666667</v>
      </c>
      <c r="I9" s="406">
        <f>IF(ISNUMBER(IF(J_V="SI",Datos!L9,Datos!L9+Datos!AB9)),IF(J_V="SI",Datos!L9,Datos!L9+Datos!AB9)," - ")</f>
        <v>8213</v>
      </c>
      <c r="J9" s="407">
        <f>IF(ISNUMBER(I9/B9),I9/B9," - ")</f>
        <v>1368.8333333333333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88</v>
      </c>
      <c r="D10" s="407">
        <f>IF(ISNUMBER(C10/Datos!BH10),C10/Datos!BH10," - ")</f>
        <v>88</v>
      </c>
      <c r="E10" s="406">
        <f>IF(ISNUMBER(Datos!J10),Datos!J10," - ")</f>
        <v>150</v>
      </c>
      <c r="F10" s="407">
        <f>IF(ISNUMBER(E10/B10),E10/B10," - ")</f>
        <v>150</v>
      </c>
      <c r="G10" s="406">
        <f>IF(ISNUMBER(Datos!K10),Datos!K10," - ")</f>
        <v>143</v>
      </c>
      <c r="H10" s="407">
        <f>IF(ISNUMBER(G10/B10),G10/B10," - ")</f>
        <v>143</v>
      </c>
      <c r="I10" s="406">
        <f>IF(ISNUMBER(Datos!L10),Datos!L10," - ")</f>
        <v>83</v>
      </c>
      <c r="J10" s="407">
        <f>IF(ISNUMBER(I10/B10),I10/B10," - ")</f>
        <v>83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474</v>
      </c>
      <c r="D11" s="407">
        <f>IF(ISNUMBER(C11/Datos!BH11),C11/Datos!BH11," - ")</f>
        <v>237</v>
      </c>
      <c r="E11" s="406">
        <f>IF(ISNUMBER(IF(J_V="SI",Datos!J11,Datos!J11+Datos!Z11)),IF(J_V="SI",Datos!J11,Datos!J11+Datos!Z11)," - ")</f>
        <v>1794</v>
      </c>
      <c r="F11" s="407">
        <f>IF(ISNUMBER(E11/B11),E11/B11," - ")</f>
        <v>897</v>
      </c>
      <c r="G11" s="406">
        <f>IF(ISNUMBER(IF(J_V="SI",Datos!K11,Datos!K11+Datos!AA11)),IF(J_V="SI",Datos!K11,Datos!K11+Datos!AA11)," - ")</f>
        <v>1695</v>
      </c>
      <c r="H11" s="407">
        <f>IF(ISNUMBER(G11/B11),G11/B11," - ")</f>
        <v>847.5</v>
      </c>
      <c r="I11" s="406">
        <f>IF(ISNUMBER(IF(J_V="SI",Datos!L11,Datos!L11+Datos!AB11)),IF(J_V="SI",Datos!L11,Datos!L11+Datos!AB11)," - ")</f>
        <v>577</v>
      </c>
      <c r="J11" s="407">
        <f>IF(ISNUMBER(I11/B11),I11/B11," - ")</f>
        <v>288.5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5745</v>
      </c>
      <c r="D13" s="853" t="str">
        <f>IF(ISNUMBER(C13/Datos!BI13),C13/Datos!BI13," - ")</f>
        <v xml:space="preserve"> - </v>
      </c>
      <c r="E13" s="852">
        <f>SUBTOTAL(9,E8:E12)</f>
        <v>11252</v>
      </c>
      <c r="F13" s="853">
        <f>IF(ISNUMBER(E13/B13),E13/B13," - ")</f>
        <v>1250.2222222222222</v>
      </c>
      <c r="G13" s="852">
        <f>SUBTOTAL(9,G8:G12)</f>
        <v>8112</v>
      </c>
      <c r="H13" s="853">
        <f>IF(ISNUMBER(G13/B13),G13/B13," - ")</f>
        <v>901.33333333333337</v>
      </c>
      <c r="I13" s="852">
        <f>SUBTOTAL(9,I8:I12)</f>
        <v>8873</v>
      </c>
      <c r="J13" s="853">
        <f>IF(ISNUMBER(I13/B13),I13/B13," - ")</f>
        <v>985.88888888888891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3316</v>
      </c>
      <c r="D15" s="407">
        <f>IF(ISNUMBER(C15/Datos!BH15),C15/Datos!BH15," - ")</f>
        <v>1105.3333333333333</v>
      </c>
      <c r="E15" s="406">
        <f>IF(ISNUMBER(IF(D_I="SI",Datos!J15,Datos!J15+Datos!AD15)),IF(D_I="SI",Datos!J15,Datos!J15+Datos!AD15)," - ")</f>
        <v>8617</v>
      </c>
      <c r="F15" s="407">
        <f>IF(ISNUMBER(E15/B15),E15/B15," - ")</f>
        <v>2872.3333333333335</v>
      </c>
      <c r="G15" s="406">
        <f>IF(ISNUMBER(IF(D_I="SI",Datos!K15,Datos!K15+Datos!AE15)),IF(D_I="SI",Datos!K15,Datos!K15+Datos!AE15)," - ")</f>
        <v>7951</v>
      </c>
      <c r="H15" s="407">
        <f>IF(ISNUMBER(G15/B15),G15/B15," - ")</f>
        <v>2650.3333333333335</v>
      </c>
      <c r="I15" s="406">
        <f>IF(ISNUMBER(IF(D_I="SI",Datos!L15,Datos!L15+Datos!AF15)),IF(D_I="SI",Datos!L15,Datos!L15+Datos!AF15)," - ")</f>
        <v>4013</v>
      </c>
      <c r="J15" s="407">
        <f>IF(ISNUMBER(I15/B15),I15/B15," - ")</f>
        <v>1337.6666666666667</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274</v>
      </c>
      <c r="D17" s="407">
        <f>IF(ISNUMBER(C17/Datos!BH17),C17/Datos!BH17," - ")</f>
        <v>274</v>
      </c>
      <c r="E17" s="406">
        <f>IF(ISNUMBER(IF(D_I="SI",Datos!J17,Datos!J17+Datos!AD17)),IF(D_I="SI",Datos!J17,Datos!J17+Datos!AD17)," - ")</f>
        <v>1047</v>
      </c>
      <c r="F17" s="407">
        <f>IF(ISNUMBER(E17/B17),E17/B17," - ")</f>
        <v>1047</v>
      </c>
      <c r="G17" s="406">
        <f>IF(ISNUMBER(IF(D_I="SI",Datos!K17,Datos!K17+Datos!AE17)),IF(D_I="SI",Datos!K17,Datos!K17+Datos!AE17)," - ")</f>
        <v>988</v>
      </c>
      <c r="H17" s="407">
        <f>IF(ISNUMBER(G17/B17),G17/B17," - ")</f>
        <v>988</v>
      </c>
      <c r="I17" s="406">
        <f>IF(ISNUMBER(IF(D_I="SI",Datos!L17,Datos!L17+Datos!AF17)),IF(D_I="SI",Datos!L17,Datos!L17+Datos!AF17)," - ")</f>
        <v>334</v>
      </c>
      <c r="J17" s="407">
        <f>IF(ISNUMBER(I17/B17),I17/B17," - ")</f>
        <v>334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3590</v>
      </c>
      <c r="D18" s="853" t="str">
        <f>IF(ISNUMBER(C18/Datos!BI18),C18/Datos!BI18," - ")</f>
        <v xml:space="preserve"> - </v>
      </c>
      <c r="E18" s="852">
        <f>SUBTOTAL(9,E14:E17)</f>
        <v>9664</v>
      </c>
      <c r="F18" s="853">
        <f>IF(ISNUMBER(E18/B18),E18/B18," - ")</f>
        <v>2416</v>
      </c>
      <c r="G18" s="852">
        <f>SUBTOTAL(9,G14:G17)</f>
        <v>8939</v>
      </c>
      <c r="H18" s="853">
        <f>IF(ISNUMBER(G18/B18),G18/B18," - ")</f>
        <v>2234.75</v>
      </c>
      <c r="I18" s="852">
        <f>SUBTOTAL(9,I14:I17)</f>
        <v>4347</v>
      </c>
      <c r="J18" s="853">
        <f>IF(ISNUMBER(I18/B18),I18/B18," - ")</f>
        <v>1086.75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12</v>
      </c>
      <c r="C19" s="797">
        <f>SUBTOTAL(9,C9:C18)</f>
        <v>9335</v>
      </c>
      <c r="D19" s="798" t="str">
        <f>IF(ISNUMBER(C19/Datos!BI19),C19/Datos!BI19," - ")</f>
        <v xml:space="preserve"> - </v>
      </c>
      <c r="E19" s="797">
        <f>SUBTOTAL(9,E9:E18)</f>
        <v>20916</v>
      </c>
      <c r="F19" s="798">
        <f>IF(ISNUMBER(E19/B19),E19/B19," - ")</f>
        <v>1743</v>
      </c>
      <c r="G19" s="797">
        <f>SUBTOTAL(9,G9:G18)</f>
        <v>17051</v>
      </c>
      <c r="H19" s="798">
        <f>IF(ISNUMBER(G19/B19),G19/B19," - ")</f>
        <v>1420.9166666666667</v>
      </c>
      <c r="I19" s="797">
        <f>SUBTOTAL(9,I9:I18)</f>
        <v>13220</v>
      </c>
      <c r="J19" s="798">
        <f>IF(ISNUMBER(I19/B19),I19/B19," - ")</f>
        <v>1101.6666666666667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QuJPqnFYbaJNSbqleN5Vgpq7CSVHudL+eS9OlZW3BAusp1LQgmaTz1xtWgwB8lJR2xnUpyz6ZT1lMEJz78uxWA==" saltValue="BfrFVD2MRgGgpd/nEhah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ALBACETE  Resumenes por Partidos Judiciales  ALBACETE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246</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76</v>
      </c>
      <c r="G10" s="687">
        <f>IF(ISNUMBER(Datos!I10),Datos!I10," - ")</f>
        <v>88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143</v>
      </c>
      <c r="AC10" s="686" t="str">
        <f>IF(ISNUMBER(IF(D_I="SI",DatosP!K17,DatosP!K17+DatosP!AE17)),IF(D_I="SI",DatosP!K17,DatosP!K17+DatosP!AE17)," - ")</f>
        <v xml:space="preserve"> - </v>
      </c>
      <c r="AD10" s="688"/>
      <c r="AE10" s="688"/>
      <c r="AF10" s="691">
        <f>IF(ISNUMBER(Datos!L10),Datos!L10,"-")</f>
        <v>83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61</v>
      </c>
      <c r="AM10" s="693">
        <f>IF(ISNUMBER(Datos!N10+DatosP!N17),Datos!N10+DatosP!N17," - ")</f>
        <v>53</v>
      </c>
      <c r="AN10" s="693">
        <f>IF(ISNUMBER(Datos!BW10+DatosP!BW17),Datos!BW10+DatosP!BW17," - ")</f>
        <v>0</v>
      </c>
      <c r="AO10" s="694">
        <f>IF(ISNUMBER(Datos!BX10+DatosP!BX17),Datos!BX10+DatosP!BX17," - ")</f>
        <v>0</v>
      </c>
      <c r="AP10" s="696">
        <f>IF(ISNUMBER(((Datos!L10/Datos!K10)*11)/factor_trimestre),((Datos!L10/Datos!K10)*11)/factor_trimestre," - ")</f>
        <v>6.384615384615385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76</v>
      </c>
      <c r="G13" s="941">
        <f t="shared" si="0"/>
        <v>88</v>
      </c>
      <c r="H13" s="941">
        <f t="shared" si="0"/>
        <v>0</v>
      </c>
      <c r="I13" s="943">
        <f t="shared" si="0"/>
        <v>0</v>
      </c>
      <c r="J13" s="942">
        <f t="shared" si="0"/>
        <v>0</v>
      </c>
      <c r="K13" s="942">
        <f t="shared" si="0"/>
        <v>0</v>
      </c>
      <c r="L13" s="944">
        <f t="shared" si="0"/>
        <v>0</v>
      </c>
      <c r="M13" s="944">
        <f t="shared" si="0"/>
        <v>0</v>
      </c>
      <c r="N13" s="942">
        <f t="shared" si="0"/>
        <v>39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143</v>
      </c>
      <c r="AC13" s="942">
        <f t="shared" si="1"/>
        <v>0</v>
      </c>
      <c r="AD13" s="942">
        <f t="shared" si="1"/>
        <v>0</v>
      </c>
      <c r="AE13" s="942">
        <f t="shared" si="1"/>
        <v>0</v>
      </c>
      <c r="AF13" s="942">
        <f t="shared" si="1"/>
        <v>83</v>
      </c>
      <c r="AG13" s="942">
        <f t="shared" si="1"/>
        <v>0</v>
      </c>
      <c r="AH13" s="942">
        <f t="shared" si="1"/>
        <v>0</v>
      </c>
      <c r="AI13" s="942">
        <f t="shared" si="1"/>
        <v>0</v>
      </c>
      <c r="AJ13" s="942">
        <f t="shared" si="1"/>
        <v>0</v>
      </c>
      <c r="AK13" s="942">
        <f t="shared" si="1"/>
        <v>0</v>
      </c>
      <c r="AL13" s="942">
        <f t="shared" si="1"/>
        <v>61</v>
      </c>
      <c r="AM13" s="942">
        <f t="shared" si="1"/>
        <v>53</v>
      </c>
      <c r="AN13" s="942">
        <f t="shared" si="1"/>
        <v>0</v>
      </c>
      <c r="AO13" s="942">
        <f t="shared" si="1"/>
        <v>0</v>
      </c>
      <c r="AP13" s="947">
        <f>IF(ISNUMBER(((Datos!L13/Datos!K13)*11)/factor_trimestre),((Datos!L13/Datos!K13)*11)/factor_trimestre," - ")</f>
        <v>13.260210526315788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-1.881578947368421</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5.3492560689115116</v>
      </c>
      <c r="AQ18" s="947">
        <f>IF(ISNUMBER(((Datos!M18/Datos!L18)*11)/factor_trimestre),((Datos!M18/Datos!L18)*11)/factor_trimestre," - ")</f>
        <v>3.1757533931446975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0.18367346938775511</v>
      </c>
      <c r="AW18" s="949">
        <f>IF(ISNUMBER((Datos!Q18-Datos!R18)/(Datos!S18-Datos!Q18+Datos!R18)),(Datos!Q18-Datos!R18)/(Datos!S18-Datos!Q18+Datos!R18)," - ")</f>
        <v>-3.149350649350649E-2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76</v>
      </c>
      <c r="G19" s="954">
        <f t="shared" si="4"/>
        <v>88</v>
      </c>
      <c r="H19" s="954">
        <f t="shared" si="4"/>
        <v>0</v>
      </c>
      <c r="I19" s="955">
        <f t="shared" si="4"/>
        <v>0</v>
      </c>
      <c r="J19" s="956">
        <f t="shared" si="4"/>
        <v>0</v>
      </c>
      <c r="K19" s="956">
        <f t="shared" si="4"/>
        <v>0</v>
      </c>
      <c r="L19" s="956">
        <f t="shared" si="4"/>
        <v>0</v>
      </c>
      <c r="M19" s="956">
        <f t="shared" si="4"/>
        <v>0</v>
      </c>
      <c r="N19" s="955">
        <f t="shared" si="4"/>
        <v>39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143</v>
      </c>
      <c r="AC19" s="960">
        <f t="shared" si="5"/>
        <v>0</v>
      </c>
      <c r="AD19" s="960">
        <f t="shared" si="5"/>
        <v>0</v>
      </c>
      <c r="AE19" s="960">
        <f t="shared" si="5"/>
        <v>0</v>
      </c>
      <c r="AF19" s="961">
        <f t="shared" si="5"/>
        <v>83</v>
      </c>
      <c r="AG19" s="961">
        <f t="shared" si="5"/>
        <v>0</v>
      </c>
      <c r="AH19" s="961">
        <f t="shared" si="5"/>
        <v>0</v>
      </c>
      <c r="AI19" s="961">
        <f t="shared" si="5"/>
        <v>0</v>
      </c>
      <c r="AJ19" s="962">
        <f t="shared" si="5"/>
        <v>0</v>
      </c>
      <c r="AK19" s="962">
        <f t="shared" si="5"/>
        <v>0</v>
      </c>
      <c r="AL19" s="954">
        <f t="shared" si="5"/>
        <v>61</v>
      </c>
      <c r="AM19" s="954">
        <f t="shared" si="5"/>
        <v>53</v>
      </c>
      <c r="AN19" s="954">
        <f t="shared" si="5"/>
        <v>0</v>
      </c>
      <c r="AO19" s="954">
        <f t="shared" si="5"/>
        <v>0</v>
      </c>
      <c r="AP19" s="954">
        <f>IF(ISNUMBER(((Datos!L19/Datos!K19)*11)/factor_trimestre),((Datos!L19/Datos!K19)*11)/factor_trimestre," - ")</f>
        <v>8.8580677290836647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-1.881578947368421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-6.0441032050709761E-2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58.666666666666664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3.687817782917155</v>
      </c>
      <c r="F21" s="739">
        <f>IF(ISNUMBER(STDEV(F8:F18)),STDEV(F8:F18),"-")</f>
        <v>43.878620458411561</v>
      </c>
      <c r="G21" s="740">
        <f>IF(ISNUMBER(STDEV(G8:G18)),STDEV(G8:G18),"-")</f>
        <v>50.806823688687061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82.56108849411649</v>
      </c>
      <c r="AC21" s="741">
        <f>IF(ISNUMBER(STDEV(AC8:AC18)),STDEV(AC8:AC18),"-")</f>
        <v>0</v>
      </c>
      <c r="AD21" s="744"/>
      <c r="AE21" s="744"/>
      <c r="AF21" s="744"/>
      <c r="AG21" s="744"/>
      <c r="AH21" s="744"/>
      <c r="AI21" s="744"/>
      <c r="AJ21" s="745">
        <f>IF(ISNUMBER(STDEV(AJ8:AJ18)),STDEV(AJ8:AJ18),"-")</f>
        <v>0</v>
      </c>
      <c r="AK21" s="747"/>
      <c r="AL21" s="739">
        <f>IF(ISNUMBER(STDEV(AL8:AL18)),STDEV(AL8:AL18),"-")</f>
        <v>35.218366420567172</v>
      </c>
      <c r="AM21" s="739"/>
      <c r="AN21" s="739">
        <f>IF(ISNUMBER(STDEV(AN8:AN18)),STDEV(AN8:AN18),"-")</f>
        <v>0</v>
      </c>
      <c r="AO21" s="745">
        <f>IF(ISNUMBER(STDEV(AO8:AO18)),STDEV(AO8:AO18),"-")</f>
        <v>0</v>
      </c>
      <c r="AP21" s="782">
        <f>IF(ISNUMBER(STDEV(AP8:AP18)),STDEV(AP8:AP18),"-")</f>
        <v>4.2997863879560629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wNnI6p3Wq1pa3tZijs2u3LOSOR8Pv7dtJHnS9TxNWlkl5yxJBroKPNTsKx5p4olIqNhaigBaalv9nefhdlkPJQ==" saltValue="Tio9UA3mwD0kyRWyHNfh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ALBACETE</v>
      </c>
      <c r="C3" s="418"/>
      <c r="F3" s="378"/>
      <c r="G3" s="378"/>
      <c r="H3" s="378"/>
    </row>
    <row r="4" spans="1:15" ht="13.5" thickBot="1">
      <c r="A4" s="378"/>
      <c r="B4" s="394" t="str">
        <f>Criterios!A11 &amp;"  "&amp;Criterios!B11</f>
        <v>Resumenes por Partidos Judiciales  ALBACETE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bMmjLIIda2+2NQ0ixNnt88MSQvgqwxwZms/SI54iyqrd7elSzZTYYWPgx16UxFEhUADrGtCqJqGtFNCEA0SQOw==" saltValue="xv7Mby9s8wfERdDHsn1L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ALBACETE</v>
      </c>
      <c r="C3" s="394"/>
      <c r="D3" s="428"/>
    </row>
    <row r="4" spans="1:9" ht="13.5" thickBot="1">
      <c r="B4" s="394" t="str">
        <f>Criterios!A11 &amp;"  "&amp;Criterios!B11</f>
        <v>Resumenes por Partidos Judiciales  ALBACETE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1651</v>
      </c>
      <c r="E9" s="407">
        <f t="shared" ref="E9:E13" si="0">IF(ISNUMBER(D9/B9),D9/B9," - ")</f>
        <v>275.16666666666669</v>
      </c>
      <c r="F9" s="406">
        <f>IF(ISNUMBER(Datos!N9),Datos!N9," - ")</f>
        <v>2129</v>
      </c>
      <c r="G9" s="407">
        <f t="shared" ref="G9:G13" si="1">IF(ISNUMBER(F9/B9),F9/B9," - ")</f>
        <v>354.83333333333331</v>
      </c>
      <c r="H9" s="406">
        <f>IF(ISNUMBER(Datos!O9),Datos!O9," - ")</f>
        <v>3203</v>
      </c>
      <c r="I9" s="407">
        <f>IF(ISNUMBER(H9/B9),H9/B9," - ")</f>
        <v>533.83333333333337</v>
      </c>
    </row>
    <row r="10" spans="1:9">
      <c r="A10" s="405" t="str">
        <f>Datos!A10</f>
        <v>Jdos. Violencia contra la mujer</v>
      </c>
      <c r="B10" s="430">
        <f>Datos!AO10</f>
        <v>1</v>
      </c>
      <c r="C10" s="413">
        <f>Datos!AQ10</f>
        <v>1</v>
      </c>
      <c r="D10" s="406">
        <f>IF(ISNUMBER(Datos!M10),Datos!M10," - ")</f>
        <v>61</v>
      </c>
      <c r="E10" s="407">
        <f>IF(ISNUMBER(D10/B10),D10/B10," - ")</f>
        <v>61</v>
      </c>
      <c r="F10" s="406">
        <f>IF(ISNUMBER(Datos!N10),Datos!N10," - ")</f>
        <v>53</v>
      </c>
      <c r="G10" s="407">
        <f>IF(ISNUMBER(F10/B10),F10/B10," - ")</f>
        <v>53</v>
      </c>
      <c r="H10" s="406">
        <f>IF(ISNUMBER(Datos!O10),Datos!O10," - ")</f>
        <v>47</v>
      </c>
      <c r="I10" s="407">
        <f t="shared" ref="I10:I12" si="2">IF(ISNUMBER(H10/B10),H10/B10," - ")</f>
        <v>47</v>
      </c>
    </row>
    <row r="11" spans="1:9">
      <c r="A11" s="405" t="str">
        <f>Datos!A11</f>
        <v xml:space="preserve">Jdos. Familia                                   </v>
      </c>
      <c r="B11" s="430">
        <f>Datos!AO11</f>
        <v>2</v>
      </c>
      <c r="C11" s="413">
        <f>Datos!AQ11</f>
        <v>2</v>
      </c>
      <c r="D11" s="406">
        <f>IF(ISNUMBER(Datos!M11),Datos!M11," - ")</f>
        <v>455</v>
      </c>
      <c r="E11" s="407">
        <f t="shared" si="0"/>
        <v>227.5</v>
      </c>
      <c r="F11" s="406">
        <f>IF(ISNUMBER(Datos!N11),Datos!N11," - ")</f>
        <v>1108</v>
      </c>
      <c r="G11" s="407">
        <f t="shared" si="1"/>
        <v>554</v>
      </c>
      <c r="H11" s="406">
        <f>IF(ISNUMBER(Datos!O11),Datos!O11," - ")</f>
        <v>438</v>
      </c>
      <c r="I11" s="407">
        <f t="shared" si="2"/>
        <v>219</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9</v>
      </c>
      <c r="C13" s="854">
        <f>Datos!AR13</f>
        <v>9</v>
      </c>
      <c r="D13" s="852">
        <f>SUBTOTAL(9,D9:D12)</f>
        <v>2167</v>
      </c>
      <c r="E13" s="853">
        <f t="shared" si="0"/>
        <v>240.77777777777777</v>
      </c>
      <c r="F13" s="852">
        <f>SUBTOTAL(9,F9:F12)</f>
        <v>3290</v>
      </c>
      <c r="G13" s="853">
        <f t="shared" si="1"/>
        <v>365.55555555555554</v>
      </c>
      <c r="H13" s="852">
        <f>SUBTOTAL(9,H9:H12)</f>
        <v>3688</v>
      </c>
      <c r="I13" s="853">
        <f>IF(ISNUMBER(H13/B13),H13/B13," - ")</f>
        <v>409.77777777777777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1219</v>
      </c>
      <c r="E15" s="407">
        <f t="shared" ref="E15:E18" si="3">IF(ISNUMBER(D15/B15),D15/B15," - ")</f>
        <v>406.33333333333331</v>
      </c>
      <c r="F15" s="406">
        <f>IF(ISNUMBER(Datos!N15),Datos!N15," - ")</f>
        <v>4031</v>
      </c>
      <c r="G15" s="407">
        <f t="shared" ref="G15:G18" si="4">IF(ISNUMBER(F15/B15),F15/B15," - ")</f>
        <v>1343.6666666666667</v>
      </c>
      <c r="H15" s="406">
        <f>IF(ISNUMBER(Datos!O15),Datos!O15," - ")</f>
        <v>267</v>
      </c>
      <c r="I15" s="407">
        <f t="shared" ref="I15:I17" si="5">IF(ISNUMBER(H15/B15),H15/B15," - ")</f>
        <v>89</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36</v>
      </c>
      <c r="E17" s="407">
        <f>IF(ISNUMBER(D17/B17),D17/B17," - ")</f>
        <v>36</v>
      </c>
      <c r="F17" s="406">
        <f>IF(ISNUMBER(Datos!N17),Datos!N17," - ")</f>
        <v>526</v>
      </c>
      <c r="G17" s="407">
        <f>IF(ISNUMBER(F17/B17),F17/B17," - ")</f>
        <v>526</v>
      </c>
      <c r="H17" s="406">
        <f>IF(ISNUMBER(Datos!O17),Datos!O17," - ")</f>
        <v>5</v>
      </c>
      <c r="I17" s="407">
        <f t="shared" si="5"/>
        <v>5</v>
      </c>
    </row>
    <row r="18" spans="1:9" ht="14.25" thickTop="1" thickBot="1">
      <c r="A18" s="851" t="str">
        <f>Datos!A18</f>
        <v>TOTAL</v>
      </c>
      <c r="B18" s="852">
        <f>Datos!AO18</f>
        <v>4</v>
      </c>
      <c r="C18" s="854">
        <f>Datos!AR18</f>
        <v>4</v>
      </c>
      <c r="D18" s="852">
        <f>SUBTOTAL(9,D15:D17)</f>
        <v>1255</v>
      </c>
      <c r="E18" s="853">
        <f t="shared" si="3"/>
        <v>313.75</v>
      </c>
      <c r="F18" s="852">
        <f>SUBTOTAL(9,F15:F17)</f>
        <v>4557</v>
      </c>
      <c r="G18" s="853">
        <f t="shared" si="4"/>
        <v>1139.25</v>
      </c>
      <c r="H18" s="852">
        <f>SUBTOTAL(9,H15:H17)</f>
        <v>272</v>
      </c>
      <c r="I18" s="853">
        <f>IF(ISNUMBER(H18/B18),H18/B18," - ")</f>
        <v>68</v>
      </c>
    </row>
    <row r="19" spans="1:9" ht="14.25" thickTop="1" thickBot="1">
      <c r="A19" s="796" t="str">
        <f>Datos!A19</f>
        <v>TOTAL JURISDICCIONES</v>
      </c>
      <c r="B19" s="797">
        <f>Datos!AP19</f>
        <v>12</v>
      </c>
      <c r="C19" s="797">
        <f>Datos!AR19</f>
        <v>12</v>
      </c>
      <c r="D19" s="797">
        <f>SUBTOTAL(9,D8:D18)</f>
        <v>3422</v>
      </c>
      <c r="E19" s="798">
        <f>IF(ISNUMBER(D19/B19),D19/B19," - ")</f>
        <v>285.16666666666669</v>
      </c>
      <c r="F19" s="797">
        <f>SUBTOTAL(9,F8:F18)</f>
        <v>7847</v>
      </c>
      <c r="G19" s="798">
        <f>IF(ISNUMBER(F19/B19),F19/B19," - ")</f>
        <v>653.91666666666663</v>
      </c>
      <c r="H19" s="797">
        <f>SUBTOTAL(9,H8:H18)</f>
        <v>3960</v>
      </c>
      <c r="I19" s="798">
        <f>IF(ISNUMBER(H19/B19),H19/B19," - ")</f>
        <v>330</v>
      </c>
    </row>
    <row r="22" spans="1:9">
      <c r="A22" s="394" t="str">
        <f>Criterios!A4</f>
        <v>Fecha Informe: 03 may. 2024</v>
      </c>
    </row>
    <row r="27" spans="1:9">
      <c r="A27" s="417"/>
    </row>
  </sheetData>
  <sheetProtection algorithmName="SHA-512" hashValue="nn4d0ZvXJaQJW4sqX6qVN6W/47DoVp+R3vzDRzEocEqnm22M9SN8ja7w15dL5dqVssGX7TreMtiM1GspCvBlsg==" saltValue="X4mSxirf6qti/z8hkTux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ALBACETE</v>
      </c>
    </row>
    <row r="4" spans="1:4" ht="13.5" thickBot="1">
      <c r="B4" s="394" t="str">
        <f>Criterios!A11 &amp;"  "&amp;Criterios!B11</f>
        <v>Resumenes por Partidos Judiciales  ALBACETE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1692</v>
      </c>
      <c r="C9" s="437">
        <f>IF(ISNUMBER(Datos!Q9),Datos!Q9," - ")</f>
        <v>2543</v>
      </c>
      <c r="D9" s="411">
        <f>IF(ISNUMBER(Datos!R9),Datos!R9," - ")</f>
        <v>9253</v>
      </c>
    </row>
    <row r="10" spans="1:4">
      <c r="A10" s="405" t="str">
        <f>Datos!A10</f>
        <v>Jdos. Violencia contra la mujer</v>
      </c>
      <c r="B10" s="436">
        <f>IF(ISNUMBER(Datos!P10),Datos!P10," - ")</f>
        <v>39</v>
      </c>
      <c r="C10" s="437">
        <f>IF(ISNUMBER(Datos!Q10),Datos!Q10," - ")</f>
        <v>55</v>
      </c>
      <c r="D10" s="411">
        <f>IF(ISNUMBER(Datos!R10),Datos!R10," - ")</f>
        <v>53</v>
      </c>
    </row>
    <row r="11" spans="1:4">
      <c r="A11" s="405" t="str">
        <f>Datos!A11</f>
        <v xml:space="preserve">Jdos. Familia                                   </v>
      </c>
      <c r="B11" s="436">
        <f>IF(ISNUMBER(Datos!P11),Datos!P11," - ")</f>
        <v>191</v>
      </c>
      <c r="C11" s="437">
        <f>IF(ISNUMBER(Datos!Q11),Datos!Q11," - ")</f>
        <v>100</v>
      </c>
      <c r="D11" s="411">
        <f>IF(ISNUMBER(Datos!R11),Datos!R11," - ")</f>
        <v>580</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1922</v>
      </c>
      <c r="C13" s="856">
        <f>SUBTOTAL(9,C9:C12)</f>
        <v>2698</v>
      </c>
      <c r="D13" s="854">
        <f>SUBTOTAL(9,D9:D12)</f>
        <v>9886</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629</v>
      </c>
      <c r="C15" s="437">
        <f>IF(ISNUMBER(Datos!Q15),Datos!Q15," - ")</f>
        <v>536</v>
      </c>
      <c r="D15" s="411">
        <f>IF(ISNUMBER(Datos!R15),Datos!R15," - ")</f>
        <v>632</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11</v>
      </c>
      <c r="C17" s="437">
        <f>IF(ISNUMBER(Datos!Q17),Datos!Q17," - ")</f>
        <v>5</v>
      </c>
      <c r="D17" s="411">
        <f>IF(ISNUMBER(Datos!R17),Datos!R17," - ")</f>
        <v>6</v>
      </c>
    </row>
    <row r="18" spans="1:4" ht="14.25" thickTop="1" thickBot="1">
      <c r="A18" s="851" t="str">
        <f>Datos!A18</f>
        <v>TOTAL</v>
      </c>
      <c r="B18" s="852">
        <f>SUBTOTAL(9,B15:B17)</f>
        <v>640</v>
      </c>
      <c r="C18" s="856">
        <f>SUBTOTAL(9,C15:C17)</f>
        <v>541</v>
      </c>
      <c r="D18" s="854">
        <f>SUBTOTAL(9,D15:D17)</f>
        <v>638</v>
      </c>
    </row>
    <row r="19" spans="1:4" ht="16.5" customHeight="1" thickTop="1" thickBot="1">
      <c r="A19" s="796" t="str">
        <f>Datos!A19</f>
        <v>TOTAL JURISDICCIONES</v>
      </c>
      <c r="B19" s="801">
        <f>SUBTOTAL(9,B8:B18)</f>
        <v>2562</v>
      </c>
      <c r="C19" s="802">
        <f>SUBTOTAL(9,C8:C18)</f>
        <v>3239</v>
      </c>
      <c r="D19" s="803">
        <f>SUBTOTAL(9,D8:D18)</f>
        <v>10524</v>
      </c>
    </row>
    <row r="20" spans="1:4" ht="7.5" customHeight="1"/>
    <row r="21" spans="1:4" ht="6" customHeight="1"/>
    <row r="22" spans="1:4">
      <c r="A22" s="394" t="str">
        <f>Criterios!A4</f>
        <v>Fecha Informe: 03 may. 2024</v>
      </c>
    </row>
    <row r="27" spans="1:4">
      <c r="A27" s="417"/>
    </row>
  </sheetData>
  <sheetProtection algorithmName="SHA-512" hashValue="bSwISS4lybY5QcbLokYgrpR+IJAATAQOFR5Gv/soOwdTcGI9UmF11IjAbwsB1ac+3FapOfEAq6PvHkFtK7+3iQ==" saltValue="HyOiJTK4yyQ97nUqTueW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ALBACETE</v>
      </c>
    </row>
    <row r="4" spans="1:11" ht="10.5" customHeight="1" thickBot="1">
      <c r="B4" s="394" t="str">
        <f>Criterios!A11 &amp;"  "&amp;Criterios!B11</f>
        <v>Resumenes por Partidos Judiciales  ALBACETE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2.8373015873015873E-2</v>
      </c>
      <c r="C9" s="459">
        <f>IF(ISNUMBER(
   IF(J_V="SI",(Datos!J9-Datos!T9)/Datos!T9,(Datos!J9+Datos!Z9-(Datos!T9+Datos!AH9))/(Datos!T9+Datos!AH9))
     ),IF(J_V="SI",(Datos!J9-Datos!T9)/Datos!T9,(Datos!J9+Datos!Z9-(Datos!T9+Datos!AH9))/(Datos!T9+Datos!AH9))," - ")</f>
        <v>4.7844196780366992E-2</v>
      </c>
      <c r="D9" s="459">
        <f>IF(ISNUMBER(
   IF(J_V="SI",(Datos!K9-Datos!U9)/Datos!U9,(Datos!K9+Datos!AA9-(Datos!U9+Datos!AI9))/(Datos!U9+Datos!AI9))
     ),IF(J_V="SI",(Datos!K9-Datos!U9)/Datos!U9,(Datos!K9+Datos!AA9-(Datos!U9+Datos!AI9))/(Datos!U9+Datos!AI9))," - ")</f>
        <v>-0.28858147182220206</v>
      </c>
      <c r="E9" s="459">
        <f>IF(ISNUMBER(
   IF(J_V="SI",(Datos!L9-Datos!V9)/Datos!V9,(Datos!L9+Datos!AB9-(Datos!V9+Datos!AJ9))/(Datos!V9+Datos!AJ9))
     ),IF(J_V="SI",(Datos!L9-Datos!V9)/Datos!V9,(Datos!L9+Datos!AB9-(Datos!V9+Datos!AJ9))/(Datos!V9+Datos!AJ9))," - ")</f>
        <v>0.58460351147983791</v>
      </c>
      <c r="F9" s="459">
        <f>IF(ISNUMBER((Datos!M9-Datos!W9)/Datos!W9),(Datos!M9-Datos!W9)/Datos!W9," - ")</f>
        <v>-0.39189686924493555</v>
      </c>
      <c r="G9" s="460">
        <f>IF(ISNUMBER((Datos!N9-Datos!X9)/Datos!X9),(Datos!N9-Datos!X9)/Datos!X9," - ")</f>
        <v>-0.22270901788974079</v>
      </c>
      <c r="H9" s="458">
        <f>IF(ISNUMBER(((NºAsuntos!G9/NºAsuntos!E9)-Datos!BD9)/Datos!BD9),((NºAsuntos!G9/NºAsuntos!E9)-Datos!BD9)/Datos!BD9," - ")</f>
        <v>-0.32106459112555014</v>
      </c>
      <c r="I9" s="459">
        <f>IF(ISNUMBER(((NºAsuntos!I9/NºAsuntos!G9)-Datos!BE9)/Datos!BE9),((NºAsuntos!I9/NºAsuntos!G9)-Datos!BE9)/Datos!BE9," - ")</f>
        <v>1.2273857774530905</v>
      </c>
      <c r="J9" s="464">
        <f>IF(ISNUMBER((('Resol  Asuntos'!D9/NºAsuntos!G9)-Datos!BF9)/Datos!BF9),(('Resol  Asuntos'!D9/NºAsuntos!G9)-Datos!BF9)/Datos!BF9," - ")</f>
        <v>-0.15271431452765011</v>
      </c>
      <c r="K9" s="465">
        <f>IF(ISNUMBER((((NºAsuntos!C9+NºAsuntos!E9)/NºAsuntos!G9)-Datos!BG9)/Datos!BG9),(((NºAsuntos!C9+NºAsuntos!E9)/NºAsuntos!G9)-Datos!BG9)/Datos!BG9," - ")</f>
        <v>0.46298664467953232</v>
      </c>
    </row>
    <row r="10" spans="1:11">
      <c r="A10" s="405" t="str">
        <f>Datos!A10</f>
        <v>Jdos. Violencia contra la mujer</v>
      </c>
      <c r="B10" s="458">
        <f>IF(ISNUMBER((Datos!I10-Datos!S10)/Datos!S10),(Datos!I10-Datos!S10)/Datos!S10," - ")</f>
        <v>0.1</v>
      </c>
      <c r="C10" s="459">
        <f>IF(ISNUMBER((Datos!J10-Datos!T10)/Datos!T10),(Datos!J10-Datos!T10)/Datos!T10," - ")</f>
        <v>0.2711864406779661</v>
      </c>
      <c r="D10" s="459">
        <f>IF(ISNUMBER((Datos!K10-Datos!U10)/Datos!U10),(Datos!K10-Datos!U10)/Datos!U10," - ")</f>
        <v>0.3</v>
      </c>
      <c r="E10" s="459">
        <f>IF(ISNUMBER((Datos!L10-Datos!V10)/Datos!V10),(Datos!L10-Datos!V10)/Datos!V10," - ")</f>
        <v>-5.6818181818181816E-2</v>
      </c>
      <c r="F10" s="459">
        <f>IF(ISNUMBER((Datos!M10-Datos!W10)/Datos!W10),(Datos!M10-Datos!W10)/Datos!W10," - ")</f>
        <v>0.24489795918367346</v>
      </c>
      <c r="G10" s="460">
        <f>IF(ISNUMBER((Datos!N10-Datos!X10)/Datos!X10),(Datos!N10-Datos!X10)/Datos!X10," - ")</f>
        <v>-0.14516129032258066</v>
      </c>
      <c r="H10" s="458">
        <f>IF(ISNUMBER(((NºAsuntos!G10/NºAsuntos!E10)-Datos!BD10)/Datos!BD10),((NºAsuntos!G10/NºAsuntos!E10)-Datos!BD10)/Datos!BD10," - ")</f>
        <v>2.2666666666666748E-2</v>
      </c>
      <c r="I10" s="459">
        <f>IF(ISNUMBER(((NºAsuntos!I10/NºAsuntos!G10)-Datos!BE10)/Datos!BE10),((NºAsuntos!I10/NºAsuntos!G10)-Datos!BE10)/Datos!BE10," - ")</f>
        <v>-0.27447552447552453</v>
      </c>
      <c r="J10" s="464">
        <f>IF(ISNUMBER((('Resol  Asuntos'!D10/NºAsuntos!G10)-Datos!BF10)/Datos!BF10),(('Resol  Asuntos'!D10/NºAsuntos!G10)-Datos!BF10)/Datos!BF10," - ")</f>
        <v>-4.2386185243328087E-2</v>
      </c>
      <c r="K10" s="465">
        <f>IF(ISNUMBER((((NºAsuntos!C10+NºAsuntos!E10)/NºAsuntos!G10)-Datos!BG10)/Datos!BG10),(((NºAsuntos!C10+NºAsuntos!E10)/NºAsuntos!G10)-Datos!BG10)/Datos!BG10," - ")</f>
        <v>-7.5369075369075375E-2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3.2679738562091505E-2</v>
      </c>
      <c r="C11" s="459">
        <f>IF(ISNUMBER(
   IF(J_V="SI",(Datos!J11-Datos!T11)/Datos!T11,(Datos!J11+Datos!Z11-(Datos!T11+Datos!AH11))/(Datos!T11+Datos!AH11))
     ),IF(J_V="SI",(Datos!J11-Datos!T11)/Datos!T11,(Datos!J11+Datos!Z11-(Datos!T11+Datos!AH11))/(Datos!T11+Datos!AH11))," - ")</f>
        <v>-0.14855244423350736</v>
      </c>
      <c r="D11" s="459">
        <f>IF(ISNUMBER(
   IF(J_V="SI",(Datos!K11-Datos!U11)/Datos!U11,(Datos!K11+Datos!AA11-(Datos!U11+Datos!AI11))/(Datos!U11+Datos!AI11))
     ),IF(J_V="SI",(Datos!K11-Datos!U11)/Datos!U11,(Datos!K11+Datos!AA11-(Datos!U11+Datos!AI11))/(Datos!U11+Datos!AI11))," - ")</f>
        <v>-0.17114914425427874</v>
      </c>
      <c r="E11" s="459">
        <f>IF(ISNUMBER(
   IF(J_V="SI",(Datos!L11-Datos!V11)/Datos!V11,(Datos!L11+Datos!AB11-(Datos!V11+Datos!AJ11))/(Datos!V11+Datos!AJ11))
     ),IF(J_V="SI",(Datos!L11-Datos!V11)/Datos!V11,(Datos!L11+Datos!AB11-(Datos!V11+Datos!AJ11))/(Datos!V11+Datos!AJ11))," - ")</f>
        <v>0.21729957805907174</v>
      </c>
      <c r="F11" s="459">
        <f>IF(ISNUMBER((Datos!M11-Datos!W11)/Datos!W11),(Datos!M11-Datos!W11)/Datos!W11," - ")</f>
        <v>-0.29892141756548535</v>
      </c>
      <c r="G11" s="460">
        <f>IF(ISNUMBER((Datos!N11-Datos!X11)/Datos!X11),(Datos!N11-Datos!X11)/Datos!X11," - ")</f>
        <v>5.8261700095510981E-2</v>
      </c>
      <c r="H11" s="458">
        <f>IF(ISNUMBER(((NºAsuntos!G11/NºAsuntos!E11)-Datos!BD11)/Datos!BD11),((NºAsuntos!G11/NºAsuntos!E11)-Datos!BD11)/Datos!BD11," - ")</f>
        <v>-2.6539156601875846E-2</v>
      </c>
      <c r="I11" s="459">
        <f>IF(ISNUMBER(((NºAsuntos!I11/NºAsuntos!G11)-Datos!BE11)/Datos!BE11),((NºAsuntos!I11/NºAsuntos!G11)-Datos!BE11)/Datos!BE11," - ")</f>
        <v>0.46865937293852605</v>
      </c>
      <c r="J11" s="464">
        <f>IF(ISNUMBER((('Resol  Asuntos'!D11/NºAsuntos!G11)-Datos!BF11)/Datos!BF11),(('Resol  Asuntos'!D11/NºAsuntos!G11)-Datos!BF11)/Datos!BF11," - ")</f>
        <v>-0.47568977807079083</v>
      </c>
      <c r="K11" s="465">
        <f>IF(ISNUMBER((((NºAsuntos!C11+NºAsuntos!E11)/NºAsuntos!G11)-Datos!BG11)/Datos!BG11),(((NºAsuntos!C11+NºAsuntos!E11)/NºAsuntos!G11)-Datos!BG11)/Datos!BG11," - ")</f>
        <v>6.6375130191269088E-2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2.9754436278903028E-2</v>
      </c>
      <c r="C13" s="858">
        <f>IF(ISNUMBER(
   IF(J_V="SI",(Datos!J13-Datos!T13)/Datos!T13,(Datos!J13+Datos!Z13-(Datos!T13+Datos!AH13))/(Datos!T13+Datos!AH13))
     ),IF(J_V="SI",(Datos!J13-Datos!T13)/Datos!T13,(Datos!J13+Datos!Z13-(Datos!T13+Datos!AH13))/(Datos!T13+Datos!AH13))," - ")</f>
        <v>1.2963629816348578E-2</v>
      </c>
      <c r="D13" s="858">
        <f>IF(ISNUMBER(
   IF(J_V="SI",(Datos!K13-Datos!U13)/Datos!U13,(Datos!K13+Datos!AA13-(Datos!U13+Datos!AI13))/(Datos!U13+Datos!AI13))
     ),IF(J_V="SI",(Datos!K13-Datos!U13)/Datos!U13,(Datos!K13+Datos!AA13-(Datos!U13+Datos!AI13))/(Datos!U13+Datos!AI13))," - ")</f>
        <v>-0.26079825041006016</v>
      </c>
      <c r="E13" s="858">
        <f>IF(ISNUMBER(
   IF(J_V="SI",(Datos!L13-Datos!V13)/Datos!V13,(Datos!L13+Datos!AB13-(Datos!V13+Datos!AJ13))/(Datos!V13+Datos!AJ13))
     ),IF(J_V="SI",(Datos!L13-Datos!V13)/Datos!V13,(Datos!L13+Datos!AB13-(Datos!V13+Datos!AJ13))/(Datos!V13+Datos!AJ13))," - ")</f>
        <v>0.54447345517841605</v>
      </c>
      <c r="F13" s="859">
        <f>IF(ISNUMBER((Datos!M13-Datos!W13)/Datos!W13),(Datos!M13-Datos!W13)/Datos!W13," - ")</f>
        <v>-0.36507471432757105</v>
      </c>
      <c r="G13" s="860">
        <f>IF(ISNUMBER((Datos!N13-Datos!X13)/Datos!X13),(Datos!N13-Datos!X13)/Datos!X13," - ")</f>
        <v>-0.145010395010395</v>
      </c>
      <c r="H13" s="860">
        <f>IF(ISNUMBER(((NºAsuntos!G13/NºAsuntos!E13)-Datos!BD13)/Datos!BD13),((NºAsuntos!G13/NºAsuntos!E13)-Datos!BD13)/Datos!BD13," - ")</f>
        <v>-0.27025835100914936</v>
      </c>
      <c r="I13" s="860">
        <f>IF(ISNUMBER(((NºAsuntos!I13/NºAsuntos!G13)-Datos!BE13)/Datos!BE13),((NºAsuntos!I13/NºAsuntos!G13)-Datos!BE13)/Datos!BE13," - ")</f>
        <v>1.0893801401784933</v>
      </c>
      <c r="J13" s="860">
        <f>IF(ISNUMBER((('Resol  Asuntos'!D13/NºAsuntos!G13)-Datos!BF13)/Datos!BF13),(('Resol  Asuntos'!D13/NºAsuntos!G13)-Datos!BF13)/Datos!BF13," - ")</f>
        <v>-0.23558261265361866</v>
      </c>
      <c r="K13" s="860">
        <f>IF(ISNUMBER((((NºAsuntos!C13+NºAsuntos!E13)/NºAsuntos!G13)-Datos!BG13)/Datos!BG13),(((NºAsuntos!C13+NºAsuntos!E13)/NºAsuntos!G13)-Datos!BG13)/Datos!BG13," - ")</f>
        <v>0.37794226842069234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0.20144927536231885</v>
      </c>
      <c r="C15" s="459">
        <f>IF(ISNUMBER(
   IF(D_I="SI",(Datos!J15-Datos!T15)/Datos!T15,(Datos!J15+Datos!AD15-(Datos!T15+Datos!AL15))/(Datos!T15+Datos!AL15))
     ),IF(D_I="SI",(Datos!J15-Datos!T15)/Datos!T15,(Datos!J15+Datos!AD15-(Datos!T15+Datos!AL15))/(Datos!T15+Datos!AL15))," - ")</f>
        <v>4.957369062119367E-2</v>
      </c>
      <c r="D15" s="459">
        <f>IF(ISNUMBER(
   IF(D_I="SI",(Datos!K15-Datos!U15)/Datos!U15,(Datos!K15+Datos!AE15-(Datos!U15+Datos!AM15))/(Datos!U15+Datos!AM15))
     ),IF(D_I="SI",(Datos!K15-Datos!U15)/Datos!U15,(Datos!K15+Datos!AE15-(Datos!U15+Datos!AM15))/(Datos!U15+Datos!AM15))," - ")</f>
        <v>3.6095908261662757E-2</v>
      </c>
      <c r="E15" s="459">
        <f>IF(ISNUMBER(
   IF(D_I="SI",(Datos!L15-Datos!V15)/Datos!V15,(Datos!L15+Datos!AF15-(Datos!V15+Datos!AN15))/(Datos!V15+Datos!AN15))
     ),IF(D_I="SI",(Datos!L15-Datos!V15)/Datos!V15,(Datos!L15+Datos!AF15-(Datos!V15+Datos!AN15))/(Datos!V15+Datos!AN15))," - ")</f>
        <v>0.21019300361881785</v>
      </c>
      <c r="F15" s="459">
        <f>IF(ISNUMBER((Datos!M15-Datos!W15)/Datos!W15),(Datos!M15-Datos!W15)/Datos!W15," - ")</f>
        <v>-0.13912429378531074</v>
      </c>
      <c r="G15" s="460">
        <f>IF(ISNUMBER((Datos!N15-Datos!X15)/Datos!X15),(Datos!N15-Datos!X15)/Datos!X15," - ")</f>
        <v>0.15138531848043416</v>
      </c>
      <c r="H15" s="458">
        <f>IF(ISNUMBER(((NºAsuntos!G15/NºAsuntos!E15)-Datos!BD15)/Datos!BD15),((NºAsuntos!G15/NºAsuntos!E15)-Datos!BD15)/Datos!BD15," - ")</f>
        <v>-1.284119684017042E-2</v>
      </c>
      <c r="I15" s="459">
        <f>IF(ISNUMBER(((NºAsuntos!I15/NºAsuntos!G15)-Datos!BE15)/Datos!BE15),((NºAsuntos!I15/NºAsuntos!G15)-Datos!BE15)/Datos!BE15," - ")</f>
        <v>0.1680318337027806</v>
      </c>
      <c r="J15" s="464">
        <f>IF(ISNUMBER((('Resol  Asuntos'!D15/NºAsuntos!G15)-Datos!BF15)/Datos!BF15),(('Resol  Asuntos'!D15/NºAsuntos!G15)-Datos!BF15)/Datos!BF15," - ")</f>
        <v>-0.16911581316922084</v>
      </c>
      <c r="K15" s="465">
        <f>IF(ISNUMBER((((NºAsuntos!C15+NºAsuntos!E15)/NºAsuntos!G15)-Datos!BG15)/Datos!BG15),(((NºAsuntos!C15+NºAsuntos!E15)/NºAsuntos!G15)-Datos!BG15)/Datos!BG15," - ")</f>
        <v>4.9888199680655589E-2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0.22869955156950672</v>
      </c>
      <c r="C17" s="459">
        <f>IF(ISNUMBER(
   IF(D_I="SI",(Datos!J17-Datos!T17)/Datos!T17,(Datos!J17+Datos!AD17-(Datos!T17+Datos!AL17))/(Datos!T17+Datos!AL17))
     ),IF(D_I="SI",(Datos!J17-Datos!T17)/Datos!T17,(Datos!J17+Datos!AD17-(Datos!T17+Datos!AL17))/(Datos!T17+Datos!AL17))," - ")</f>
        <v>0.1870748299319728</v>
      </c>
      <c r="D17" s="459">
        <f>IF(ISNUMBER(
   IF(D_I="SI",(Datos!K17-Datos!U17)/Datos!U17,(Datos!K17+Datos!AE17-(Datos!U17+Datos!AM17))/(Datos!U17+Datos!AM17))
     ),IF(D_I="SI",(Datos!K17-Datos!U17)/Datos!U17,(Datos!K17+Datos!AE17-(Datos!U17+Datos!AM17))/(Datos!U17+Datos!AM17))," - ")</f>
        <v>0.18465227817745802</v>
      </c>
      <c r="E17" s="459">
        <f>IF(ISNUMBER(
   IF(D_I="SI",(Datos!L17-Datos!V17)/Datos!V17,(Datos!L17+Datos!AF17-(Datos!V17+Datos!AN17))/(Datos!V17+Datos!AN17))
     ),IF(D_I="SI",(Datos!L17-Datos!V17)/Datos!V17,(Datos!L17+Datos!AF17-(Datos!V17+Datos!AN17))/(Datos!V17+Datos!AN17))," - ")</f>
        <v>0.21897810218978103</v>
      </c>
      <c r="F17" s="459">
        <f>IF(ISNUMBER((Datos!M17-Datos!W17)/Datos!W17),(Datos!M17-Datos!W17)/Datos!W17," - ")</f>
        <v>0.16129032258064516</v>
      </c>
      <c r="G17" s="460">
        <f>IF(ISNUMBER((Datos!N17-Datos!X17)/Datos!X17),(Datos!N17-Datos!X17)/Datos!X17," - ")</f>
        <v>0.14847161572052403</v>
      </c>
      <c r="H17" s="458">
        <f>IF(ISNUMBER(((NºAsuntos!G17/NºAsuntos!E17)-Datos!BD17)/Datos!BD17),((NºAsuntos!G17/NºAsuntos!E17)-Datos!BD17)/Datos!BD17," - ")</f>
        <v>-2.0407742573849354E-3</v>
      </c>
      <c r="I17" s="459">
        <f>IF(ISNUMBER(((NºAsuntos!I17/NºAsuntos!G17)-Datos!BE17)/Datos!BE17),((NºAsuntos!I17/NºAsuntos!G17)-Datos!BE17)/Datos!BE17," - ")</f>
        <v>2.8975442536718032E-2</v>
      </c>
      <c r="J17" s="464">
        <f>IF(ISNUMBER((('Resol  Asuntos'!D17/NºAsuntos!G17)-Datos!BF17)/Datos!BF17),(('Resol  Asuntos'!D17/NºAsuntos!G17)-Datos!BF17)/Datos!BF17," - ")</f>
        <v>-1.9720517173827896E-2</v>
      </c>
      <c r="K17" s="465">
        <f>IF(ISNUMBER((((NºAsuntos!C17+NºAsuntos!E17)/NºAsuntos!G17)-Datos!BG17)/Datos!BG17),(((NºAsuntos!C17+NºAsuntos!E17)/NºAsuntos!G17)-Datos!BG17)/Datos!BG17," - ")</f>
        <v>9.1358748419954391E-3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0.2034864230640295</v>
      </c>
      <c r="C18" s="858">
        <f>IF(ISNUMBER(
   IF(Criterios!B14="SI",(Datos!J18-Datos!T18)/Datos!T18,(Datos!J18+Datos!AD18-(Datos!T18+Datos!AL18))/(Datos!T18+Datos!AL18))
     ),IF(Criterios!B14="SI",(Datos!J18-Datos!T18)/Datos!T18,(Datos!J18+Datos!AD18-(Datos!T18+Datos!AL18))/(Datos!T18+Datos!AL18))," - ")</f>
        <v>6.2912450505939285E-2</v>
      </c>
      <c r="D18" s="858">
        <f>IF(ISNUMBER(
   IF(Criterios!B14="SI",(Datos!K18-Datos!U18)/Datos!U18,(Datos!K18+Datos!AE18-(Datos!U18+Datos!AM18))/(Datos!U18+Datos!AM18))
     ),IF(Criterios!B14="SI",(Datos!K18-Datos!U18)/Datos!U18,(Datos!K18+Datos!AE18-(Datos!U18+Datos!AM18))/(Datos!U18+Datos!AM18))," - ")</f>
        <v>5.0658204043253406E-2</v>
      </c>
      <c r="E18" s="858">
        <f>IF(ISNUMBER(
   IF(Criterios!B14="SI",(Datos!L18-Datos!V18)/Datos!V18,(Datos!L18+Datos!AF18-(Datos!V18+Datos!AN18))/(Datos!V18+Datos!AN18))
     ),IF(Criterios!B14="SI",(Datos!L18-Datos!V18)/Datos!V18,(Datos!L18+Datos!AF18-(Datos!V18+Datos!AN18))/(Datos!V18+Datos!AN18))," - ")</f>
        <v>0.21086350974930362</v>
      </c>
      <c r="F18" s="859">
        <f>IF(ISNUMBER((Datos!M18-Datos!W18)/Datos!W18),(Datos!M18-Datos!W18)/Datos!W18," - ")</f>
        <v>-0.13268832066344161</v>
      </c>
      <c r="G18" s="860">
        <f>IF(ISNUMBER((Datos!N18-Datos!X18)/Datos!X18),(Datos!N18-Datos!X18)/Datos!X18," - ")</f>
        <v>0.15104824450618842</v>
      </c>
      <c r="H18" s="860">
        <f>IF(ISNUMBER(((NºAsuntos!G18/NºAsuntos!E18)-Datos!BD18)/Datos!BD18),((NºAsuntos!G18/NºAsuntos!E18)-Datos!BD18)/Datos!BD18," - ")</f>
        <v>-1.1528933033810035E-2</v>
      </c>
      <c r="I18" s="860">
        <f>IF(ISNUMBER(((NºAsuntos!I18/NºAsuntos!G18)-Datos!BE18)/Datos!BE18),((NºAsuntos!I18/NºAsuntos!G18)-Datos!BE18)/Datos!BE18," - ")</f>
        <v>0.15248089729802827</v>
      </c>
      <c r="J18" s="860">
        <f>IF(ISNUMBER((('Resol  Asuntos'!D18/NºAsuntos!G18)-Datos!BF18)/Datos!BF18),(('Resol  Asuntos'!D18/NºAsuntos!G18)-Datos!BF18)/Datos!BF18," - ")</f>
        <v>-0.17450634659408906</v>
      </c>
      <c r="K18" s="860">
        <f>IF(ISNUMBER((((NºAsuntos!C18+NºAsuntos!E18)/NºAsuntos!G18)-Datos!BG18)/Datos!BG18),(((NºAsuntos!C18+NºAsuntos!E18)/NºAsuntos!G18)-Datos!BG18)/Datos!BG18," - ")</f>
        <v>4.4716300057185403E-2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9.0282644241999527E-2</v>
      </c>
      <c r="C19" s="805">
        <f>IF(ISNUMBER(
   IF(J_V="SI",(Datos!J19-Datos!T19)/Datos!T19,(Datos!J19+Datos!Z19-(Datos!T19+Datos!AH19))/(Datos!T19+Datos!AH19))
     ),IF(J_V="SI",(Datos!J19-Datos!T19)/Datos!T19,(Datos!J19+Datos!Z19-(Datos!T19+Datos!AH19))/(Datos!T19+Datos!AH19))," - ")</f>
        <v>3.5445544554455442E-2</v>
      </c>
      <c r="D19" s="805">
        <f>IF(ISNUMBER(
   IF(J_V="SI",(Datos!K19-Datos!U19)/Datos!U19,(Datos!K19+Datos!AA19-(Datos!U19+Datos!AI19))/(Datos!U19+Datos!AI19))
     ),IF(J_V="SI",(Datos!K19-Datos!U19)/Datos!U19,(Datos!K19+Datos!AA19-(Datos!U19+Datos!AI19))/(Datos!U19+Datos!AI19))," - ")</f>
        <v>-0.12478184991273997</v>
      </c>
      <c r="E19" s="805">
        <f>IF(ISNUMBER(
   IF(J_V="SI",(Datos!L19-Datos!V19)/Datos!V19,(Datos!L19+Datos!AB19-(Datos!V19+Datos!AJ19))/(Datos!V19+Datos!AJ19))
     ),IF(J_V="SI",(Datos!L19-Datos!V19)/Datos!V19,(Datos!L19+Datos!AB19-(Datos!V19+Datos!AJ19))/(Datos!V19+Datos!AJ19))," - ")</f>
        <v>0.41617568291376539</v>
      </c>
      <c r="F19" s="806">
        <f>IF(ISNUMBER((Datos!M19-Datos!W19)/Datos!W19),(Datos!M19-Datos!W19)/Datos!W19," - ")</f>
        <v>-0.29588477366255145</v>
      </c>
      <c r="G19" s="807">
        <f>IF(ISNUMBER((Datos!N19-Datos!X19)/Datos!X19),(Datos!N19-Datos!X19)/Datos!X19," - ")</f>
        <v>5.1236070193416165E-3</v>
      </c>
      <c r="H19" s="808">
        <f>IF(ISNUMBER((Tasas!B19-Datos!BD19)/Datos!BD19),(Tasas!B19-Datos!BD19)/Datos!BD19," - ")</f>
        <v>-0.15474246357990759</v>
      </c>
      <c r="I19" s="809">
        <f>IF(ISNUMBER((Tasas!C19-Datos!BE19)/Datos!BE19),(Tasas!C19-Datos!BE19)/Datos!BE19," - ")</f>
        <v>0.61808308336906792</v>
      </c>
      <c r="J19" s="810">
        <f>IF(ISNUMBER((Tasas!D19-Datos!BF19)/Datos!BF19),(Tasas!D19-Datos!BF19)/Datos!BF19," - ")</f>
        <v>-0.25977236786422253</v>
      </c>
      <c r="K19" s="810">
        <f>IF(ISNUMBER((Tasas!E19-Datos!BG19)/Datos!BG19),(Tasas!E19-Datos!BG19)/Datos!BG19," - ")</f>
        <v>0.20172290305219523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NaVkLZzxIF7qjyF8KfTu8cZw57f33GV0x0idem/bkpN6uexKrr1vW3WglYTNFc8yRk7Q8zQxE2WKG1SpT+cGQ==" saltValue="tz7dfzI4NPw+N98gUXVL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ALBACETE</v>
      </c>
    </row>
    <row r="4" spans="1:7" ht="11.25" customHeight="1" thickBot="1">
      <c r="B4" s="394" t="str">
        <f>Criterios!A11 &amp;"  "&amp;Criterios!B11</f>
        <v>Resumenes por Partidos Judiciales  ALBACETE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0.67404383326171036</v>
      </c>
      <c r="C9" s="446">
        <f>IF(ISNUMBER(NºAsuntos!I9/NºAsuntos!G9),NºAsuntos!I9/NºAsuntos!G9," - ")</f>
        <v>1.3090532355753906</v>
      </c>
      <c r="D9" s="447">
        <f>IF(ISNUMBER('Resol  Asuntos'!D9/NºAsuntos!G9),'Resol  Asuntos'!D9/NºAsuntos!G9," - ")</f>
        <v>0.26314950589735414</v>
      </c>
      <c r="E9" s="448">
        <f>IF(ISNUMBER((NºAsuntos!C9+NºAsuntos!E9)/NºAsuntos!G9),(NºAsuntos!C9+NºAsuntos!E9)/NºAsuntos!G9," - ")</f>
        <v>2.3096907873764745</v>
      </c>
      <c r="G9" s="466"/>
    </row>
    <row r="10" spans="1:7">
      <c r="A10" s="405" t="str">
        <f>Datos!A10</f>
        <v>Jdos. Violencia contra la mujer</v>
      </c>
      <c r="B10" s="445">
        <f>IF(ISNUMBER(NºAsuntos!G10/NºAsuntos!E10),NºAsuntos!G10/NºAsuntos!E10," - ")</f>
        <v>0.95333333333333337</v>
      </c>
      <c r="C10" s="446">
        <f>IF(ISNUMBER(NºAsuntos!I10/NºAsuntos!G10),NºAsuntos!I10/NºAsuntos!G10," - ")</f>
        <v>0.58041958041958042</v>
      </c>
      <c r="D10" s="447">
        <f>IF(ISNUMBER('Resol  Asuntos'!D10/NºAsuntos!G10),'Resol  Asuntos'!D10/NºAsuntos!G10," - ")</f>
        <v>0.42657342657342656</v>
      </c>
      <c r="E10" s="448">
        <f>IF(ISNUMBER((NºAsuntos!C10+NºAsuntos!E10)/NºAsuntos!G10),(NºAsuntos!C10+NºAsuntos!E10)/NºAsuntos!G10," - ")</f>
        <v>1.6643356643356644</v>
      </c>
      <c r="G10" s="466"/>
    </row>
    <row r="11" spans="1:7">
      <c r="A11" s="405" t="str">
        <f>Datos!A11</f>
        <v xml:space="preserve">Jdos. Familia                                   </v>
      </c>
      <c r="B11" s="445">
        <f>IF(ISNUMBER(NºAsuntos!G11/NºAsuntos!E11),NºAsuntos!G11/NºAsuntos!E11," - ")</f>
        <v>0.94481605351170572</v>
      </c>
      <c r="C11" s="446">
        <f>IF(ISNUMBER(NºAsuntos!I11/NºAsuntos!G11),NºAsuntos!I11/NºAsuntos!G11," - ")</f>
        <v>0.34041297935103243</v>
      </c>
      <c r="D11" s="447">
        <f>IF(ISNUMBER('Resol  Asuntos'!D11/NºAsuntos!G11),'Resol  Asuntos'!D11/NºAsuntos!G11," - ")</f>
        <v>0.26843657817109146</v>
      </c>
      <c r="E11" s="448">
        <f>IF(ISNUMBER((NºAsuntos!C11+NºAsuntos!E11)/NºAsuntos!G11),(NºAsuntos!C11+NºAsuntos!E11)/NºAsuntos!G11," - ")</f>
        <v>1.3380530973451328</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0.72093849982225378</v>
      </c>
      <c r="C13" s="862">
        <f>IF(ISNUMBER(NºAsuntos!I13/NºAsuntos!G13),NºAsuntos!I13/NºAsuntos!G13," - ")</f>
        <v>1.0938116370808679</v>
      </c>
      <c r="D13" s="863">
        <f>IF(ISNUMBER('Resol  Asuntos'!D13/NºAsuntos!G13),'Resol  Asuntos'!D13/NºAsuntos!G13," - ")</f>
        <v>0.26713510848126232</v>
      </c>
      <c r="E13" s="864">
        <f>IF(ISNUMBER((NºAsuntos!C13+NºAsuntos!E13)/NºAsuntos!G13),(NºAsuntos!C13+NºAsuntos!E13)/NºAsuntos!G13," - ")</f>
        <v>2.0952909270216962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0.92271092027387724</v>
      </c>
      <c r="C15" s="446">
        <f>IF(ISNUMBER(NºAsuntos!I15/NºAsuntos!G15),NºAsuntos!I15/NºAsuntos!G15," - ")</f>
        <v>0.50471638787573891</v>
      </c>
      <c r="D15" s="447">
        <f>IF(ISNUMBER('Resol  Asuntos'!D15/NºAsuntos!G15),'Resol  Asuntos'!D15/NºAsuntos!G15," - ")</f>
        <v>0.15331404854735253</v>
      </c>
      <c r="E15" s="448">
        <f>IF(ISNUMBER((NºAsuntos!C15+NºAsuntos!E15)/NºAsuntos!G15),(NºAsuntos!C15+NºAsuntos!E15)/NºAsuntos!G15," - ")</f>
        <v>1.5008175072317946</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0.94364851957975171</v>
      </c>
      <c r="C17" s="446">
        <f>IF(ISNUMBER(NºAsuntos!I17/NºAsuntos!G17),NºAsuntos!I17/NºAsuntos!G17," - ")</f>
        <v>0.33805668016194335</v>
      </c>
      <c r="D17" s="447">
        <f>IF(ISNUMBER('Resol  Asuntos'!D17/NºAsuntos!G17),'Resol  Asuntos'!D17/NºAsuntos!G17," - ")</f>
        <v>3.643724696356275E-2</v>
      </c>
      <c r="E17" s="448">
        <f>IF(ISNUMBER((NºAsuntos!C17+NºAsuntos!E17)/NºAsuntos!G17),(NºAsuntos!C17+NºAsuntos!E17)/NºAsuntos!G17," - ")</f>
        <v>1.3370445344129556</v>
      </c>
      <c r="G17" s="466"/>
    </row>
    <row r="18" spans="1:7" ht="14.25" thickTop="1" thickBot="1">
      <c r="A18" s="851" t="str">
        <f>Datos!A18</f>
        <v>TOTAL</v>
      </c>
      <c r="B18" s="861">
        <f>IF(ISNUMBER(NºAsuntos!G18/NºAsuntos!E18),NºAsuntos!G18/NºAsuntos!E18," - ")</f>
        <v>0.92497930463576161</v>
      </c>
      <c r="C18" s="862">
        <f>IF(ISNUMBER(NºAsuntos!I18/NºAsuntos!G18),NºAsuntos!I18/NºAsuntos!G18," - ")</f>
        <v>0.48629600626468283</v>
      </c>
      <c r="D18" s="865">
        <f>IF(ISNUMBER('Resol  Asuntos'!D18/NºAsuntos!G18),'Resol  Asuntos'!D18/NºAsuntos!G18," - ")</f>
        <v>0.14039601745161651</v>
      </c>
      <c r="E18" s="864">
        <f>IF(ISNUMBER((NºAsuntos!C18+NºAsuntos!E18)/NºAsuntos!G18),(NºAsuntos!C18+NºAsuntos!E18)/NºAsuntos!G18," - ")</f>
        <v>1.4827161874930082</v>
      </c>
      <c r="G18" s="466"/>
    </row>
    <row r="19" spans="1:7" ht="15.75" customHeight="1" thickTop="1" thickBot="1">
      <c r="A19" s="796" t="str">
        <f>Datos!A19</f>
        <v>TOTAL JURISDICCIONES</v>
      </c>
      <c r="B19" s="811">
        <f>IF(ISNUMBER(NºAsuntos!G19/NºAsuntos!E19),NºAsuntos!G19/NºAsuntos!E19," - ")</f>
        <v>0.81521323388793265</v>
      </c>
      <c r="C19" s="812">
        <f>IF(ISNUMBER(NºAsuntos!I19/NºAsuntos!G19),NºAsuntos!I19/NºAsuntos!G19," - ")</f>
        <v>0.77532109553691864</v>
      </c>
      <c r="D19" s="813">
        <f>IF(ISNUMBER('Resol  Asuntos'!D19/NºAsuntos!G19),'Resol  Asuntos'!D19/NºAsuntos!G19," - ")</f>
        <v>0.20069204152249134</v>
      </c>
      <c r="E19" s="814">
        <f>IF(ISNUMBER((NºAsuntos!C19+NºAsuntos!E19)/NºAsuntos!G19),(NºAsuntos!C19+NºAsuntos!E19)/NºAsuntos!G19," - ")</f>
        <v>1.7741481438038824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3Tbv5BluxlLW/O32cR9GmxeC9CVNoCPW+aZY0Y2PViBYSOVWs5poAkT2gg9AJQmAis6tbh/FWJpqe4IBRxQVw==" saltValue="SWN0I+TgTRk6BvathuPt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ALBACETE</v>
      </c>
      <c r="N2" s="265" t="str">
        <f>Criterios!A11 &amp;"  "&amp;Criterios!B11</f>
        <v>Resumenes por Partidos Judiciales  ALBACETE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246</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1692</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2543</v>
      </c>
      <c r="Y9" s="337">
        <f>SUM(W9:X9)</f>
        <v>2543</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9253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1651</v>
      </c>
      <c r="AJ9" s="232" t="str">
        <f>IF(ISNUMBER(Datos!BW9),Datos!BW9," - ")</f>
        <v xml:space="preserve"> - </v>
      </c>
      <c r="AK9" s="231" t="str">
        <f>IF(ISNUMBER(Datos!BX9),Datos!BX9," - ")</f>
        <v xml:space="preserve"> - </v>
      </c>
      <c r="AL9" s="246">
        <f>IF(ISNUMBER(NºAsuntos!G9/NºAsuntos!E9),NºAsuntos!G9/NºAsuntos!E9," - ")</f>
        <v>0.67404383326171036</v>
      </c>
      <c r="AM9" s="263">
        <f>IF(ISNUMBER(((NºAsuntos!I9/NºAsuntos!G9)*11)/factor_trimestre),((NºAsuntos!I9/NºAsuntos!G9)*11)/factor_trimestre," - ")</f>
        <v>14.399585591329297</v>
      </c>
      <c r="AN9" s="247">
        <f>IF(ISNUMBER('Resol  Asuntos'!D9/NºAsuntos!G9),'Resol  Asuntos'!D9/NºAsuntos!G9," - ")</f>
        <v>0.26314950589735414</v>
      </c>
      <c r="AO9" s="248">
        <f>IF(ISNUMBER((NºAsuntos!C9+NºAsuntos!E9)/NºAsuntos!G9),(NºAsuntos!C9+NºAsuntos!E9)/NºAsuntos!G9," - ")</f>
        <v>2.3096907873764745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76</v>
      </c>
      <c r="G10" s="336">
        <f>IF(ISNUMBER(Datos!I10),Datos!I10," - ")</f>
        <v>88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143</v>
      </c>
      <c r="X10" s="229">
        <f>IF(ISNUMBER(Datos!Q10),Datos!Q10," - ")</f>
        <v>55</v>
      </c>
      <c r="Y10" s="337">
        <f t="shared" ref="Y10:Y12" si="0">SUM(W10:X10)</f>
        <v>198</v>
      </c>
      <c r="Z10" s="338" t="str">
        <f>IF(ISNUMBER(Datos!CC10),Datos!CC10," - ")</f>
        <v xml:space="preserve"> - </v>
      </c>
      <c r="AA10" s="335">
        <f>IF(ISNUMBER(Datos!L10),Datos!L10,"-")</f>
        <v>83</v>
      </c>
      <c r="AB10" s="337">
        <f>IF(ISNUMBER(Datos!R10),Datos!R10," - ")</f>
        <v>53</v>
      </c>
      <c r="AC10" s="337">
        <f t="shared" ref="AC10:AC12" si="1">IF(ISNUMBER(AA10+AB10),AA10+AB10," - ")</f>
        <v>136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61</v>
      </c>
      <c r="AJ10" s="234" t="str">
        <f>IF(ISNUMBER(Datos!BW10),Datos!BW10," - ")</f>
        <v xml:space="preserve"> - </v>
      </c>
      <c r="AK10" s="235" t="str">
        <f>IF(ISNUMBER(Datos!BX10),Datos!BX10," - ")</f>
        <v xml:space="preserve"> - </v>
      </c>
      <c r="AL10" s="246">
        <f>IF(ISNUMBER(NºAsuntos!G10/NºAsuntos!E10),NºAsuntos!G10/NºAsuntos!E10," - ")</f>
        <v>0.95333333333333337</v>
      </c>
      <c r="AM10" s="263">
        <f>IF(ISNUMBER(((NºAsuntos!I10/NºAsuntos!G10)*11)/factor_trimestre),((NºAsuntos!I10/NºAsuntos!G10)*11)/factor_trimestre," - ")</f>
        <v>6.384615384615385</v>
      </c>
      <c r="AN10" s="247">
        <f>IF(ISNUMBER('Resol  Asuntos'!D10/NºAsuntos!G10),'Resol  Asuntos'!D10/NºAsuntos!G10," - ")</f>
        <v>0.42657342657342656</v>
      </c>
      <c r="AO10" s="248">
        <f>IF(ISNUMBER((NºAsuntos!C10+NºAsuntos!E10)/NºAsuntos!G10),(NºAsuntos!C10+NºAsuntos!E10)/NºAsuntos!G10," - ")</f>
        <v>1.6643356643356644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191</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100</v>
      </c>
      <c r="Y11" s="337">
        <f t="shared" si="0"/>
        <v>100</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580</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455</v>
      </c>
      <c r="AJ11" s="234" t="str">
        <f>IF(ISNUMBER(Datos!BW11),Datos!BW11," - ")</f>
        <v xml:space="preserve"> - </v>
      </c>
      <c r="AK11" s="235" t="str">
        <f>IF(ISNUMBER(Datos!BX11),Datos!BX11," - ")</f>
        <v xml:space="preserve"> - </v>
      </c>
      <c r="AL11" s="246">
        <f>IF(ISNUMBER(NºAsuntos!G11/NºAsuntos!E11),NºAsuntos!G11/NºAsuntos!E11," - ")</f>
        <v>0.94481605351170572</v>
      </c>
      <c r="AM11" s="263">
        <f>IF(ISNUMBER(((NºAsuntos!I11/NºAsuntos!G11)*11)/factor_trimestre),((NºAsuntos!I11/NºAsuntos!G11)*11)/factor_trimestre," - ")</f>
        <v>3.7445427728613567</v>
      </c>
      <c r="AN11" s="247">
        <f>IF(ISNUMBER('Resol  Asuntos'!D11/NºAsuntos!G11),'Resol  Asuntos'!D11/NºAsuntos!G11," - ")</f>
        <v>0.26843657817109146</v>
      </c>
      <c r="AO11" s="248">
        <f>IF(ISNUMBER((NºAsuntos!C11+NºAsuntos!E11)/NºAsuntos!G11),(NºAsuntos!C11+NºAsuntos!E11)/NºAsuntos!G11," - ")</f>
        <v>1.3380530973451328</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76</v>
      </c>
      <c r="G13" s="869">
        <f t="shared" si="3"/>
        <v>88</v>
      </c>
      <c r="H13" s="868">
        <f t="shared" si="3"/>
        <v>0</v>
      </c>
      <c r="I13" s="870">
        <f t="shared" si="3"/>
        <v>0</v>
      </c>
      <c r="J13" s="870">
        <f t="shared" si="3"/>
        <v>0</v>
      </c>
      <c r="K13" s="870">
        <f t="shared" si="3"/>
        <v>0</v>
      </c>
      <c r="L13" s="870">
        <f t="shared" si="3"/>
        <v>1922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143</v>
      </c>
      <c r="X13" s="870">
        <f t="shared" si="4"/>
        <v>2698</v>
      </c>
      <c r="Y13" s="871">
        <f t="shared" si="4"/>
        <v>2841</v>
      </c>
      <c r="Z13" s="871">
        <f t="shared" si="4"/>
        <v>0</v>
      </c>
      <c r="AA13" s="871">
        <f t="shared" si="4"/>
        <v>83</v>
      </c>
      <c r="AB13" s="871">
        <f t="shared" si="4"/>
        <v>9886</v>
      </c>
      <c r="AC13" s="871">
        <f t="shared" si="4"/>
        <v>136</v>
      </c>
      <c r="AD13" s="871">
        <f t="shared" si="4"/>
        <v>0</v>
      </c>
      <c r="AE13" s="875">
        <f t="shared" si="4"/>
        <v>0</v>
      </c>
      <c r="AF13" s="868">
        <f t="shared" si="4"/>
        <v>0</v>
      </c>
      <c r="AG13" s="876">
        <f t="shared" si="4"/>
        <v>0</v>
      </c>
      <c r="AH13" s="873">
        <f t="shared" si="4"/>
        <v>0</v>
      </c>
      <c r="AI13" s="868">
        <f t="shared" si="4"/>
        <v>2167</v>
      </c>
      <c r="AJ13" s="870">
        <f t="shared" si="4"/>
        <v>0</v>
      </c>
      <c r="AK13" s="873">
        <f>SUBTOTAL(9,AK9:AK12)</f>
        <v>0</v>
      </c>
      <c r="AL13" s="877">
        <f>IF(ISNUMBER(NºAsuntos!G13/NºAsuntos!E13),NºAsuntos!G13/NºAsuntos!E13," - ")</f>
        <v>0.72093849982225378</v>
      </c>
      <c r="AM13" s="877">
        <f>IF(ISNUMBER(((NºAsuntos!I13/NºAsuntos!G13)*11)/factor_trimestre),((NºAsuntos!I13/NºAsuntos!G13)*11)/factor_trimestre," - ")</f>
        <v>12.031928007889547</v>
      </c>
      <c r="AN13" s="878">
        <f>IF(ISNUMBER('Resol  Asuntos'!D13/NºAsuntos!G13),'Resol  Asuntos'!D13/NºAsuntos!G13," - ")</f>
        <v>0.26713510848126232</v>
      </c>
      <c r="AO13" s="879">
        <f>IF(ISNUMBER((NºAsuntos!C13+NºAsuntos!E13)/NºAsuntos!G13),(NºAsuntos!C13+NºAsuntos!E13)/NºAsuntos!G13," - ")</f>
        <v>2.0952909270216962</v>
      </c>
      <c r="AP13" s="880" t="str">
        <f t="shared" si="2"/>
        <v xml:space="preserve"> - </v>
      </c>
      <c r="AQ13" s="880">
        <f>IF(ISNUMBER((H13-W13+K13)/(F13)),(H13-W13+K13)/(F13)," - ")</f>
        <v>-1.881578947368421</v>
      </c>
      <c r="AR13" s="881">
        <f>IF(ISNUMBER((Datos!P13-Datos!Q13)/(Datos!R13-Datos!P13+Datos!Q13)),(Datos!P13-Datos!Q13)/(Datos!R13-Datos!P13+Datos!Q13)," - ")</f>
        <v>-7.2781842055899451E-2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396</v>
      </c>
      <c r="C15" s="163" t="str">
        <f>Datos!A15</f>
        <v xml:space="preserve">Jdos. Instrucción                               </v>
      </c>
      <c r="D15" s="163"/>
      <c r="E15" s="1028">
        <f>IF(ISNUMBER(Datos!AQ15),Datos!AQ15," - ")</f>
        <v>3</v>
      </c>
      <c r="F15" s="228">
        <f>IF(ISNUMBER(AA15+W15-Datos!J15-K15),AA15+W15-Datos!J15-K15," - ")</f>
        <v>3347</v>
      </c>
      <c r="G15" s="336">
        <f>IF(ISNUMBER(IF(D_I="SI",Datos!I15,Datos!I15+Datos!AC15)),IF(D_I="SI",Datos!I15,Datos!I15+Datos!AC15)," - ")</f>
        <v>3316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629</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7951</v>
      </c>
      <c r="X15" s="229">
        <f>IF(ISNUMBER(Datos!Q15),Datos!Q15," - ")</f>
        <v>536</v>
      </c>
      <c r="Y15" s="337">
        <f>SUM(W15)</f>
        <v>7951</v>
      </c>
      <c r="Z15" s="338" t="str">
        <f>IF(ISNUMBER(Datos!CC15),Datos!CC15," - ")</f>
        <v xml:space="preserve"> - </v>
      </c>
      <c r="AA15" s="335">
        <f>IF(ISNUMBER(IF(D_I="SI",Datos!L15,Datos!L15+Datos!AF15)),IF(D_I="SI",Datos!L15,Datos!L15+Datos!AF15)," - ")</f>
        <v>4013</v>
      </c>
      <c r="AB15" s="337">
        <f>IF(ISNUMBER(Datos!R15),Datos!R15," - ")</f>
        <v>632</v>
      </c>
      <c r="AC15" s="337">
        <f t="shared" ref="AC15:AC17" si="6">IF(ISNUMBER(AA15+AB15),AA15+AB15," - ")</f>
        <v>4645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1219</v>
      </c>
      <c r="AJ15" s="234" t="str">
        <f>IF(ISNUMBER(Datos!BW15),Datos!BW15," - ")</f>
        <v xml:space="preserve"> - </v>
      </c>
      <c r="AK15" s="235" t="str">
        <f>IF(ISNUMBER(Datos!BX15),Datos!BX15," - ")</f>
        <v xml:space="preserve"> - </v>
      </c>
      <c r="AL15" s="246">
        <f>IF(ISNUMBER(NºAsuntos!G15/NºAsuntos!E15),NºAsuntos!G15/NºAsuntos!E15," - ")</f>
        <v>0.92271092027387724</v>
      </c>
      <c r="AM15" s="263">
        <f>IF(ISNUMBER(((NºAsuntos!I15/NºAsuntos!G15)*11)/factor_trimestre),((NºAsuntos!I15/NºAsuntos!G15)*11)/factor_trimestre," - ")</f>
        <v>5.5518802666331277</v>
      </c>
      <c r="AN15" s="247">
        <f>IF(ISNUMBER('Resol  Asuntos'!D15/NºAsuntos!G15),'Resol  Asuntos'!D15/NºAsuntos!G15," - ")</f>
        <v>0.15331404854735253</v>
      </c>
      <c r="AO15" s="248">
        <f>IF(ISNUMBER((NºAsuntos!C15+NºAsuntos!E15)/NºAsuntos!G15),(NºAsuntos!C15+NºAsuntos!E15)/NºAsuntos!G15," - ")</f>
        <v>1.5008175072317946</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274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988</v>
      </c>
      <c r="X17" s="229">
        <f>IF(ISNUMBER(Datos!Q17),Datos!Q17," - ")</f>
        <v>5</v>
      </c>
      <c r="Y17" s="337">
        <f t="shared" si="7"/>
        <v>993</v>
      </c>
      <c r="Z17" s="338" t="str">
        <f>IF(ISNUMBER(Datos!CC17),Datos!CC17," - ")</f>
        <v xml:space="preserve"> - </v>
      </c>
      <c r="AA17" s="335">
        <f>IF(ISNUMBER(Datos!L17),Datos!L17,"-")</f>
        <v>334</v>
      </c>
      <c r="AB17" s="337">
        <f>IF(ISNUMBER(Datos!R17),Datos!R17," - ")</f>
        <v>6</v>
      </c>
      <c r="AC17" s="337">
        <f t="shared" si="6"/>
        <v>340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36</v>
      </c>
      <c r="AJ17" s="234" t="str">
        <f>IF(ISNUMBER(Datos!BW17),Datos!BW17," - ")</f>
        <v xml:space="preserve"> - </v>
      </c>
      <c r="AK17" s="235" t="str">
        <f>IF(ISNUMBER(Datos!BX17),Datos!BX17," - ")</f>
        <v xml:space="preserve"> - </v>
      </c>
      <c r="AL17" s="246">
        <f>IF(ISNUMBER(NºAsuntos!G17/NºAsuntos!E17),NºAsuntos!G17/NºAsuntos!E17," - ")</f>
        <v>0.94364851957975171</v>
      </c>
      <c r="AM17" s="263">
        <f>IF(ISNUMBER(((NºAsuntos!I17/NºAsuntos!G17)*11)/factor_trimestre),((NºAsuntos!I17/NºAsuntos!G17)*11)/factor_trimestre," - ")</f>
        <v>3.7186234817813766</v>
      </c>
      <c r="AN17" s="247">
        <f>IF(ISNUMBER('Resol  Asuntos'!D17/NºAsuntos!G17),'Resol  Asuntos'!D17/NºAsuntos!G17," - ")</f>
        <v>3.643724696356275E-2</v>
      </c>
      <c r="AO17" s="248">
        <f>IF(ISNUMBER((NºAsuntos!C17+NºAsuntos!E17)/NºAsuntos!G17),(NºAsuntos!C17+NºAsuntos!E17)/NºAsuntos!G17," - ")</f>
        <v>1.3370445344129556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3347</v>
      </c>
      <c r="G18" s="869">
        <f>SUBTOTAL(9,G15:G17)</f>
        <v>3590</v>
      </c>
      <c r="H18" s="868">
        <f t="shared" ref="H18:O18" si="10">SUBTOTAL(9,H14:H17)</f>
        <v>0</v>
      </c>
      <c r="I18" s="870">
        <f t="shared" si="10"/>
        <v>0</v>
      </c>
      <c r="J18" s="870">
        <f t="shared" si="10"/>
        <v>0</v>
      </c>
      <c r="K18" s="870">
        <f t="shared" si="10"/>
        <v>0</v>
      </c>
      <c r="L18" s="870">
        <f t="shared" si="10"/>
        <v>640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8939</v>
      </c>
      <c r="X18" s="870">
        <f t="shared" si="11"/>
        <v>541</v>
      </c>
      <c r="Y18" s="871">
        <f t="shared" si="11"/>
        <v>8944</v>
      </c>
      <c r="Z18" s="871">
        <f t="shared" si="11"/>
        <v>0</v>
      </c>
      <c r="AA18" s="871">
        <f t="shared" si="11"/>
        <v>4347</v>
      </c>
      <c r="AB18" s="871">
        <f t="shared" si="11"/>
        <v>638</v>
      </c>
      <c r="AC18" s="871">
        <f t="shared" si="11"/>
        <v>4985</v>
      </c>
      <c r="AD18" s="871">
        <f t="shared" si="11"/>
        <v>0</v>
      </c>
      <c r="AE18" s="875">
        <f t="shared" si="11"/>
        <v>0</v>
      </c>
      <c r="AF18" s="868">
        <f t="shared" si="11"/>
        <v>0</v>
      </c>
      <c r="AG18" s="876">
        <f t="shared" si="11"/>
        <v>0</v>
      </c>
      <c r="AH18" s="873">
        <f t="shared" si="11"/>
        <v>0</v>
      </c>
      <c r="AI18" s="868">
        <f t="shared" si="11"/>
        <v>1255</v>
      </c>
      <c r="AJ18" s="870">
        <f t="shared" si="11"/>
        <v>0</v>
      </c>
      <c r="AK18" s="873">
        <f t="shared" si="11"/>
        <v>0</v>
      </c>
      <c r="AL18" s="877">
        <f>IF(ISNUMBER(NºAsuntos!G18/NºAsuntos!E18),NºAsuntos!G18/NºAsuntos!E18," - ")</f>
        <v>0.92497930463576161</v>
      </c>
      <c r="AM18" s="877">
        <f>IF(ISNUMBER(((NºAsuntos!I18/NºAsuntos!G18)*11)/factor_trimestre),((NºAsuntos!I18/NºAsuntos!G18)*11)/factor_trimestre," - ")</f>
        <v>5.3492560689115116</v>
      </c>
      <c r="AN18" s="878">
        <f>IF(ISNUMBER('Resol  Asuntos'!D18/NºAsuntos!G18),'Resol  Asuntos'!D18/NºAsuntos!G18," - ")</f>
        <v>0.14039601745161651</v>
      </c>
      <c r="AO18" s="879">
        <f>IF(ISNUMBER((NºAsuntos!C18+NºAsuntos!E18)/NºAsuntos!G18),(NºAsuntos!C18+NºAsuntos!E18)/NºAsuntos!G18," - ")</f>
        <v>1.4827161874930082</v>
      </c>
      <c r="AP18" s="880" t="str">
        <f t="shared" si="2"/>
        <v xml:space="preserve"> - </v>
      </c>
      <c r="AQ18" s="880">
        <f>IF(ISNUMBER((H18-W18+K18)/(F18)),(H18-W18+K18)/(F18)," - ")</f>
        <v>-2.6707499253062443</v>
      </c>
      <c r="AR18" s="881">
        <f>IF(ISNUMBER((Datos!P18-Datos!Q18)/(Datos!R18-Datos!P18+Datos!Q18)),(Datos!P18-Datos!Q18)/(Datos!R18-Datos!P18+Datos!Q18)," - ")</f>
        <v>0.18367346938775511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13</v>
      </c>
      <c r="F19" s="823">
        <f t="shared" si="13"/>
        <v>3423</v>
      </c>
      <c r="G19" s="824">
        <f t="shared" si="13"/>
        <v>3678</v>
      </c>
      <c r="H19" s="823">
        <f t="shared" si="13"/>
        <v>0</v>
      </c>
      <c r="I19" s="825">
        <f t="shared" si="13"/>
        <v>0</v>
      </c>
      <c r="J19" s="825">
        <f t="shared" si="13"/>
        <v>0</v>
      </c>
      <c r="K19" s="884">
        <f t="shared" si="13"/>
        <v>0</v>
      </c>
      <c r="L19" s="825">
        <f t="shared" si="13"/>
        <v>2562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9082</v>
      </c>
      <c r="X19" s="824">
        <f t="shared" si="14"/>
        <v>3239</v>
      </c>
      <c r="Y19" s="831">
        <f t="shared" si="14"/>
        <v>11785</v>
      </c>
      <c r="Z19" s="831">
        <f t="shared" si="14"/>
        <v>0</v>
      </c>
      <c r="AA19" s="831">
        <f t="shared" si="14"/>
        <v>4430</v>
      </c>
      <c r="AB19" s="831">
        <f t="shared" si="14"/>
        <v>10524</v>
      </c>
      <c r="AC19" s="831">
        <f t="shared" si="14"/>
        <v>5121</v>
      </c>
      <c r="AD19" s="831">
        <f t="shared" si="14"/>
        <v>0</v>
      </c>
      <c r="AE19" s="833">
        <f t="shared" si="14"/>
        <v>0</v>
      </c>
      <c r="AF19" s="834">
        <f t="shared" si="14"/>
        <v>0</v>
      </c>
      <c r="AG19" s="835">
        <f t="shared" si="14"/>
        <v>0</v>
      </c>
      <c r="AH19" s="833">
        <f t="shared" si="14"/>
        <v>0</v>
      </c>
      <c r="AI19" s="823">
        <f t="shared" si="14"/>
        <v>3422</v>
      </c>
      <c r="AJ19" s="823">
        <f t="shared" si="14"/>
        <v>0</v>
      </c>
      <c r="AK19" s="833">
        <f t="shared" si="14"/>
        <v>0</v>
      </c>
      <c r="AL19" s="887">
        <f>IF(ISNUMBER(NºAsuntos!G19/NºAsuntos!E19),NºAsuntos!G19/NºAsuntos!E19," - ")</f>
        <v>0.81521323388793265</v>
      </c>
      <c r="AM19" s="888">
        <f>IF(ISNUMBER(((NºAsuntos!I19/NºAsuntos!G19)*11)/factor_trimestre),((NºAsuntos!I19/NºAsuntos!G19)*11)/factor_trimestre," - ")</f>
        <v>8.5285320509061044</v>
      </c>
      <c r="AN19" s="888">
        <f>IF(ISNUMBER('Resol  Asuntos'!D19/NºAsuntos!G19),'Resol  Asuntos'!D19/NºAsuntos!G19," - ")</f>
        <v>0.20069204152249134</v>
      </c>
      <c r="AO19" s="889">
        <f>IF(ISNUMBER((NºAsuntos!C19+NºAsuntos!E19)/NºAsuntos!G19),(NºAsuntos!C19+NºAsuntos!E19)/NºAsuntos!G19," - ")</f>
        <v>1.7741481438038824</v>
      </c>
      <c r="AP19" s="890" t="str">
        <f t="shared" si="2"/>
        <v xml:space="preserve"> - </v>
      </c>
      <c r="AQ19" s="891">
        <f>IF(OR(ISNUMBER(FIND("01",Criterios!A8,1)),ISNUMBER(FIND("02",Criterios!A8,1)),ISNUMBER(FIND("03",Criterios!A8,1)),ISNUMBER(FIND("04",Criterios!A8,1))),(I19-W19+K19)/(F19-K19),(H19-W19+K19)/(F19-K19))</f>
        <v>-2.6532281624306164</v>
      </c>
      <c r="AR19" s="892">
        <f>IF(ISNUMBER((Datos!P19-Datos!Q19)/(Datos!R19-Datos!P19+Datos!Q19)),(Datos!P19-Datos!Q19)/(Datos!R19-Datos!P19+Datos!Q19)," - ")</f>
        <v>-6.0441032050709761E-2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1471.2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3.018461712712472</v>
      </c>
      <c r="F21" s="255">
        <f>IF(ISNUMBER(STDEV(F8:F18)),STDEV(F8:F18),"-")</f>
        <v>1888.5127305192659</v>
      </c>
      <c r="G21" s="256">
        <f>IF(ISNUMBER(STDEV(G8:G18)),STDEV(G8:G18),"-")</f>
        <v>1813.3100121049351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4420.2653992718579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816.82734085111565</v>
      </c>
      <c r="AJ21" s="255">
        <f t="shared" si="18"/>
        <v>0</v>
      </c>
      <c r="AK21" s="257">
        <f t="shared" si="18"/>
        <v>0</v>
      </c>
      <c r="AL21" s="252">
        <f t="shared" si="18"/>
        <v>0.11858958494875343</v>
      </c>
      <c r="AM21" s="253">
        <f t="shared" si="18"/>
        <v>4.2024025153039348</v>
      </c>
      <c r="AN21" s="253">
        <f t="shared" si="18"/>
        <v>0.12486480067830626</v>
      </c>
      <c r="AO21" s="254">
        <f t="shared" si="18"/>
        <v>0.38180471930846921</v>
      </c>
      <c r="AP21" s="294" t="str">
        <f t="shared" si="18"/>
        <v>-</v>
      </c>
      <c r="AQ21" s="295">
        <f t="shared" si="18"/>
        <v>0.55802815001545591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sIt5sOrI39pwqVLlL11Wr4pDfG1YhZddFHyqOeqbmMW5hd6GoO9OX4i5snrnkAvUAC6hkRVM4FupVa4d0erjQ==" saltValue="lvtOxGDLqAgCXzRjuDv8R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ALBACETE</v>
      </c>
      <c r="E3" s="266"/>
    </row>
    <row r="4" spans="2:20" ht="17.25" customHeight="1" thickBot="1">
      <c r="D4" s="265" t="str">
        <f>Criterios!A11 &amp;"  "&amp;Criterios!B11</f>
        <v>Resumenes por Partidos Judiciales  ALBACETE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-0.39189686924493555</v>
      </c>
      <c r="I9" s="353">
        <f>IF(ISNUMBER((Tasas!C9-Datos!BE9)/Datos!BE9),(Tasas!C9-Datos!BE9)/Datos!BE9," - ")</f>
        <v>1.2273857774530905</v>
      </c>
      <c r="J9" s="352">
        <f>IF(ISNUMBER((Tasas!D9-Datos!BF9)/Datos!BF9),(Tasas!D9-Datos!BF9)/Datos!BF9," - ")</f>
        <v>-0.15271431452765011</v>
      </c>
      <c r="K9" s="354">
        <f>IF(ISNUMBER((Tasas!E9-Datos!BG9)/Datos!BG9),(Tasas!E9-Datos!BG9)/Datos!BG9," - ")</f>
        <v>0.46298664467953232</v>
      </c>
      <c r="M9" t="e">
        <f>IF(Monitorios="SI",Datos!CE9,0)</f>
        <v>#REF!</v>
      </c>
      <c r="N9" t="e">
        <f>IF(Monitorios="SI",Datos!CF9,0)</f>
        <v>#REF!</v>
      </c>
      <c r="O9" t="e">
        <f>IF(Monitorios="SI",Datos!CG9,0)</f>
        <v>#REF!</v>
      </c>
      <c r="P9" t="e">
        <f>IF(Monitorios="SI",Datos!CH9,0)</f>
        <v>#REF!</v>
      </c>
      <c r="Q9">
        <f>IF(J_V="SI",0,Datos!AG9)</f>
        <v>227</v>
      </c>
      <c r="R9">
        <f>IF(J_V="SI",0,Datos!AH9)</f>
        <v>495</v>
      </c>
      <c r="S9">
        <f>IF(J_V="SI",0,Datos!AI9)</f>
        <v>576</v>
      </c>
      <c r="T9">
        <f>IF(J_V="SI",0,Datos!AJ9)</f>
        <v>136</v>
      </c>
    </row>
    <row r="10" spans="2:20" ht="14.25">
      <c r="B10" s="278" t="s">
        <v>246</v>
      </c>
      <c r="C10" s="7" t="str">
        <f>Datos!A10</f>
        <v>Jdos. Violencia contra la mujer</v>
      </c>
      <c r="D10" s="355">
        <f>IF(ISNUMBER((Datos!I10-Datos!S10)/Datos!S10),(Datos!I10-Datos!S10)/Datos!S10," - ")</f>
        <v>0.1</v>
      </c>
      <c r="E10" s="351">
        <f>IF(ISNUMBER((Datos!J10-Datos!T10)/Datos!T10),(Datos!J10-Datos!T10)/Datos!T10," - ")</f>
        <v>0.2711864406779661</v>
      </c>
      <c r="F10" s="351">
        <f>IF(ISNUMBER((Datos!K10-Datos!U10)/Datos!U10),(Datos!K10-Datos!U10)/Datos!U10," - ")</f>
        <v>0.3</v>
      </c>
      <c r="G10" s="352">
        <f>IF(ISNUMBER((Datos!L10-Datos!V10)/Datos!V10),(Datos!L10-Datos!V10)/Datos!V10," - ")</f>
        <v>-5.6818181818181816E-2</v>
      </c>
      <c r="H10" s="233">
        <f>IF(ISNUMBER((Datos!M10-Datos!W10)/Datos!W10),(Datos!M10-Datos!W10)/Datos!W10," - ")</f>
        <v>0.24489795918367346</v>
      </c>
      <c r="I10" s="353">
        <f>IF(ISNUMBER((Tasas!C10-Datos!BE10)/Datos!BE10),(Tasas!C10-Datos!BE10)/Datos!BE10," - ")</f>
        <v>-0.27447552447552453</v>
      </c>
      <c r="J10" s="352">
        <f>IF(ISNUMBER((Tasas!D10-Datos!BF10)/Datos!BF10),(Tasas!D10-Datos!BF10)/Datos!BF10," - ")</f>
        <v>-4.2386185243328087E-2</v>
      </c>
      <c r="K10" s="354">
        <f>IF(ISNUMBER((Tasas!E10-Datos!BG10)/Datos!BG10),(Tasas!E10-Datos!BG10)/Datos!BG10," - ")</f>
        <v>-7.5369075369075375E-2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-0.29892141756548535</v>
      </c>
      <c r="I11" s="353">
        <f>IF(ISNUMBER((Tasas!C11-Datos!BE11)/Datos!BE11),(Tasas!C11-Datos!BE11)/Datos!BE11," - ")</f>
        <v>0.46865937293852605</v>
      </c>
      <c r="J11" s="352">
        <f>IF(ISNUMBER((Tasas!D11-Datos!BF11)/Datos!BF11),(Tasas!D11-Datos!BF11)/Datos!BF11," - ")</f>
        <v>-0.47568977807079083</v>
      </c>
      <c r="K11" s="354">
        <f>IF(ISNUMBER((Tasas!E11-Datos!BG11)/Datos!BG11),(Tasas!E11-Datos!BG11)/Datos!BG11," - ")</f>
        <v>6.6375130191269088E-2</v>
      </c>
      <c r="M11" t="e">
        <f>IF(Monitorios="SI",Datos!CE11,0)</f>
        <v>#REF!</v>
      </c>
      <c r="N11" t="e">
        <f>IF(Monitorios="SI",Datos!CF11,0)</f>
        <v>#REF!</v>
      </c>
      <c r="O11" t="e">
        <f>IF(Monitorios="SI",Datos!CG11,0)</f>
        <v>#REF!</v>
      </c>
      <c r="P11" t="e">
        <f>IF(Monitorios="SI",Datos!CH11,0)</f>
        <v>#REF!</v>
      </c>
      <c r="Q11">
        <f>IF(J_V="SI",0,Datos!AG11)</f>
        <v>47</v>
      </c>
      <c r="R11">
        <f>IF(J_V="SI",0,Datos!AH11)</f>
        <v>806</v>
      </c>
      <c r="S11">
        <f>IF(J_V="SI",0,Datos!AI11)</f>
        <v>769</v>
      </c>
      <c r="T11">
        <f>IF(J_V="SI",0,Datos!AJ11)</f>
        <v>90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-0.36507471432757105</v>
      </c>
      <c r="I13" s="360">
        <f>IF(ISNUMBER((Tasas!C13-Datos!BE13)/Datos!BE13),(Tasas!C13-Datos!BE13)/Datos!BE13," - ")</f>
        <v>1.0893801401784933</v>
      </c>
      <c r="J13" s="358">
        <f>IF(ISNUMBER((Tasas!D13-Datos!BF13)/Datos!BF13),(Tasas!D13-Datos!BF13)/Datos!BF13," - ")</f>
        <v>-0.23558261265361866</v>
      </c>
      <c r="K13" s="361">
        <f>IF(ISNUMBER((Tasas!E13-Datos!BG13)/Datos!BG13),(Tasas!E13-Datos!BG13)/Datos!BG13," - ")</f>
        <v>0.37794226842069234</v>
      </c>
      <c r="M13" t="e">
        <f>IF(Monitorios="SI",Datos!CE13,0)</f>
        <v>#REF!</v>
      </c>
      <c r="N13" t="e">
        <f>IF(Monitorios="SI",Datos!CF13,0)</f>
        <v>#REF!</v>
      </c>
      <c r="O13" t="e">
        <f>IF(Monitorios="SI",Datos!CG13,0)</f>
        <v>#REF!</v>
      </c>
      <c r="P13" t="e">
        <f>IF(Monitorios="SI",Datos!CH13,0)</f>
        <v>#REF!</v>
      </c>
      <c r="Q13">
        <f>IF(J_V="SI",0,Datos!AG13)</f>
        <v>274</v>
      </c>
      <c r="R13">
        <f>IF(J_V="SI",0,Datos!AH13)</f>
        <v>1301</v>
      </c>
      <c r="S13">
        <f>IF(J_V="SI",0,Datos!AI13)</f>
        <v>1345</v>
      </c>
      <c r="T13">
        <f>IF(J_V="SI",0,Datos!AJ13)</f>
        <v>226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0.20144927536231885</v>
      </c>
      <c r="E15" s="351">
        <f>IF(ISNUMBER(
   IF(D_I="SI",(Datos!J15-Datos!T15)/Datos!T15,(Datos!J15+Datos!AD15-(Datos!T15+Datos!AL15))/(Datos!T15+Datos!AL15))
     ),IF(D_I="SI",(Datos!J15-Datos!T15)/Datos!T15,(Datos!J15+Datos!AD15-(Datos!T15+Datos!AL15))/(Datos!T15+Datos!AL15))," - ")</f>
        <v>4.957369062119367E-2</v>
      </c>
      <c r="F15" s="351">
        <f>IF(ISNUMBER(
   IF(D_I="SI",(Datos!K15-Datos!U15)/Datos!U15,(Datos!K15+Datos!AE15-(Datos!U15+Datos!AM15))/(Datos!U15+Datos!AM15))
     ),IF(D_I="SI",(Datos!K15-Datos!U15)/Datos!U15,(Datos!K15+Datos!AE15-(Datos!U15+Datos!AM15))/(Datos!U15+Datos!AM15))," - ")</f>
        <v>3.6095908261662757E-2</v>
      </c>
      <c r="G15" s="352">
        <f>IF(ISNUMBER(
   IF(D_I="SI",(Datos!L15-Datos!V15)/Datos!V15,(Datos!L15+Datos!AF15-(Datos!V15+Datos!AN15))/(Datos!V15+Datos!AN15))
     ),IF(D_I="SI",(Datos!L15-Datos!V15)/Datos!V15,(Datos!L15+Datos!AF15-(Datos!V15+Datos!AN15))/(Datos!V15+Datos!AN15))," - ")</f>
        <v>0.21019300361881785</v>
      </c>
      <c r="H15" s="233">
        <f>IF(ISNUMBER((Datos!M15-Datos!W15)/Datos!W15),(Datos!M15-Datos!W15)/Datos!W15," - ")</f>
        <v>-0.13912429378531074</v>
      </c>
      <c r="I15" s="353">
        <f>IF(ISNUMBER((Tasas!C15-Datos!BE15)/Datos!BE15),(Tasas!C15-Datos!BE15)/Datos!BE15," - ")</f>
        <v>0.1680318337027806</v>
      </c>
      <c r="J15" s="352">
        <f>IF(ISNUMBER((Tasas!D15-Datos!BF15)/Datos!BF15),(Tasas!D15-Datos!BF15)/Datos!BF15," - ")</f>
        <v>-0.16911581316922084</v>
      </c>
      <c r="K15" s="354">
        <f>IF(ISNUMBER((Tasas!E15-Datos!BG15)/Datos!BG15),(Tasas!E15-Datos!BG15)/Datos!BG15," - ")</f>
        <v>4.9888199680655589E-2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0.22869955156950672</v>
      </c>
      <c r="E17" s="351">
        <f>IF(ISNUMBER(
   IF(D_I="SI",(Datos!J17-Datos!T17)/Datos!T17,(Datos!J17+Datos!AD17-(Datos!T17+Datos!AL17))/(Datos!T17+Datos!AL17))
     ),IF(D_I="SI",(Datos!J17-Datos!T17)/Datos!T17,(Datos!J17+Datos!AD17-(Datos!T17+Datos!AL17))/(Datos!T17+Datos!AL17))," - ")</f>
        <v>0.1870748299319728</v>
      </c>
      <c r="F17" s="351">
        <f>IF(ISNUMBER(
   IF(D_I="SI",(Datos!K17-Datos!U17)/Datos!U17,(Datos!K17+Datos!AE17-(Datos!U17+Datos!AM17))/(Datos!U17+Datos!AM17))
     ),IF(D_I="SI",(Datos!K17-Datos!U17)/Datos!U17,(Datos!K17+Datos!AE17-(Datos!U17+Datos!AM17))/(Datos!U17+Datos!AM17))," - ")</f>
        <v>0.18465227817745802</v>
      </c>
      <c r="G17" s="352">
        <f>IF(ISNUMBER(
   IF(D_I="SI",(Datos!L17-Datos!V17)/Datos!V17,(Datos!L17+Datos!AF17-(Datos!V17+Datos!AN17))/(Datos!V17+Datos!AN17))
     ),IF(D_I="SI",(Datos!L17-Datos!V17)/Datos!V17,(Datos!L17+Datos!AF17-(Datos!V17+Datos!AN17))/(Datos!V17+Datos!AN17))," - ")</f>
        <v>0.21897810218978103</v>
      </c>
      <c r="H17" s="233">
        <f>IF(ISNUMBER((Datos!M17-Datos!W17)/Datos!W17),(Datos!M17-Datos!W17)/Datos!W17," - ")</f>
        <v>0.16129032258064516</v>
      </c>
      <c r="I17" s="353">
        <f>IF(ISNUMBER((Tasas!C17-Datos!BE17)/Datos!BE17),(Tasas!C17-Datos!BE17)/Datos!BE17," - ")</f>
        <v>2.8975442536718032E-2</v>
      </c>
      <c r="J17" s="352">
        <f>IF(ISNUMBER((Tasas!D17-Datos!BF17)/Datos!BF17),(Tasas!D17-Datos!BF17)/Datos!BF17," - ")</f>
        <v>-1.9720517173827896E-2</v>
      </c>
      <c r="K17" s="354">
        <f>IF(ISNUMBER((Tasas!E17-Datos!BG17)/Datos!BG17),(Tasas!E17-Datos!BG17)/Datos!BG17," - ")</f>
        <v>9.1358748419954391E-3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0.2034864230640295</v>
      </c>
      <c r="E18" s="357">
        <f>IF(ISNUMBER(
   IF(D_I="SI",(Datos!J18-Datos!T18)/Datos!T18,(Datos!J18+Datos!AD18-(Datos!T18+Datos!AL18))/(Datos!T18+Datos!AL18))
     ),IF(D_I="SI",(Datos!J18-Datos!T18)/Datos!T18,(Datos!J18+Datos!AD18-(Datos!T18+Datos!AL18))/(Datos!T18+Datos!AL18))," - ")</f>
        <v>6.2912450505939285E-2</v>
      </c>
      <c r="F18" s="357">
        <f>IF(ISNUMBER(
   IF(D_I="SI",(Datos!K18-Datos!U18)/Datos!U18,(Datos!K18+Datos!AE18-(Datos!U18+Datos!AM18))/(Datos!U18+Datos!AM18))
     ),IF(D_I="SI",(Datos!K18-Datos!U18)/Datos!U18,(Datos!K18+Datos!AE18-(Datos!U18+Datos!AM18))/(Datos!U18+Datos!AM18))," - ")</f>
        <v>5.0658204043253406E-2</v>
      </c>
      <c r="G18" s="358">
        <f>IF(ISNUMBER(
   IF(D_I="SI",(Datos!L18-Datos!V18)/Datos!V18,(Datos!L18+Datos!AF18-(Datos!V18+Datos!AN18))/(Datos!V18+Datos!AN18))
     ),IF(D_I="SI",(Datos!L18-Datos!V18)/Datos!V18,(Datos!L18+Datos!AF18-(Datos!V18+Datos!AN18))/(Datos!V18+Datos!AN18))," - ")</f>
        <v>0.21086350974930362</v>
      </c>
      <c r="H18" s="359">
        <f>IF(ISNUMBER((Datos!M18-Datos!W18)/Datos!W18),(Datos!M18-Datos!W18)/Datos!W18," - ")</f>
        <v>-0.13268832066344161</v>
      </c>
      <c r="I18" s="360">
        <f>IF(ISNUMBER((Tasas!C18-Datos!BE18)/Datos!BE18),(Tasas!C18-Datos!BE18)/Datos!BE18," - ")</f>
        <v>0.15248089729802827</v>
      </c>
      <c r="J18" s="358">
        <f>IF(ISNUMBER((Tasas!D18-Datos!BF18)/Datos!BF18),(Tasas!D18-Datos!BF18)/Datos!BF18," - ")</f>
        <v>-0.17450634659408906</v>
      </c>
      <c r="K18" s="361">
        <f>IF(ISNUMBER((Tasas!E18-Datos!BG18)/Datos!BG18),(Tasas!E18-Datos!BG18)/Datos!BG18," - ")</f>
        <v>4.4716300057185403E-2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9.0282644241999527E-2</v>
      </c>
      <c r="E19" s="366">
        <f>IF(ISNUMBER(
   IF(J_V="SI",(Datos!J19-Datos!T19)/Datos!T19,(Datos!J19+Datos!Z19-(Datos!T19+Datos!AH19))/(Datos!T19+Datos!AH19))
     ),IF(J_V="SI",(Datos!J19-Datos!T19)/Datos!T19,(Datos!J19+Datos!Z19-(Datos!T19+Datos!AH19))/(Datos!T19+Datos!AH19))," - ")</f>
        <v>3.5445544554455442E-2</v>
      </c>
      <c r="F19" s="366">
        <f>IF(ISNUMBER(
   IF(J_V="SI",(Datos!K19-Datos!U19)/Datos!U19,(Datos!K19+Datos!AA19-(Datos!U19+Datos!AI19))/(Datos!U19+Datos!AI19))
     ),IF(J_V="SI",(Datos!K19-Datos!U19)/Datos!U19,(Datos!K19+Datos!AA19-(Datos!U19+Datos!AI19))/(Datos!U19+Datos!AI19))," - ")</f>
        <v>-0.12478184991273997</v>
      </c>
      <c r="G19" s="367">
        <f>IF(ISNUMBER(
   IF(J_V="SI",(Datos!L19-Datos!V19)/Datos!V19,(Datos!L19+Datos!AB19-(Datos!V19+Datos!AJ19))/(Datos!V19+Datos!AJ19))
     ),IF(J_V="SI",(Datos!L19-Datos!V19)/Datos!V19,(Datos!L19+Datos!AB19-(Datos!V19+Datos!AJ19))/(Datos!V19+Datos!AJ19))," - ")</f>
        <v>0.41617568291376539</v>
      </c>
      <c r="H19" s="368">
        <f>IF(ISNUMBER((Datos!M19-Datos!W19)/Datos!W19),(Datos!M19-Datos!W19)/Datos!W19," - ")</f>
        <v>-0.29588477366255145</v>
      </c>
      <c r="I19" s="365">
        <f>IF(ISNUMBER((Tasas!C19-Datos!BE19)/Datos!BE19),(Tasas!C19-Datos!BE19)/Datos!BE19," - ")</f>
        <v>0.61808308336906792</v>
      </c>
      <c r="J19" s="366">
        <f>IF(ISNUMBER((Tasas!D19-Datos!BF19)/Datos!BF19),(Tasas!D19-Datos!BF19)/Datos!BF19," - ")</f>
        <v>-0.25977236786422253</v>
      </c>
      <c r="K19" s="367">
        <f>IF(ISNUMBER((Tasas!E19-Datos!BG19)/Datos!BG19),(Tasas!E19-Datos!BG19)/Datos!BG19," - ")</f>
        <v>0.20172290305219523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5.6970313305468916E-2</v>
      </c>
      <c r="E21" s="281">
        <f t="shared" si="1"/>
        <v>0.10569839612625316</v>
      </c>
      <c r="F21" s="281">
        <f t="shared" si="1"/>
        <v>0.12428370273320062</v>
      </c>
      <c r="G21" s="282">
        <f t="shared" si="1"/>
        <v>0.13514052117683242</v>
      </c>
      <c r="H21" s="288">
        <f t="shared" si="1"/>
        <v>0.25094972887315398</v>
      </c>
      <c r="I21" s="280">
        <f t="shared" si="1"/>
        <v>0.55851826036725061</v>
      </c>
      <c r="J21" s="281">
        <f t="shared" si="1"/>
        <v>0.15057036897912141</v>
      </c>
      <c r="K21" s="282">
        <f t="shared" si="1"/>
        <v>0.20280747324024356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qSdD4U0+0+cKsXkfTrMZ1crtJa4asVQN6J2G0UZr4A+x8AR6yR0ZWJWqIGD4Og1uLJxjVY0pVFvnCkU4ifT8Cg==" saltValue="cnig+DDZpCMYheA0Fb6A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